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pivotTables/pivotTable3.xml" ContentType="application/vnd.openxmlformats-officedocument.spreadsheetml.pivotTable+xml"/>
  <Override PartName="/xl/tables/table3.xml" ContentType="application/vnd.openxmlformats-officedocument.spreadsheetml.table+xml"/>
  <Override PartName="/xl/comments4.xml" ContentType="application/vnd.openxmlformats-officedocument.spreadsheetml.comments+xml"/>
  <Override PartName="/xl/pivotTables/pivotTable4.xml" ContentType="application/vnd.openxmlformats-officedocument.spreadsheetml.pivotTable+xml"/>
  <Override PartName="/xl/tables/table4.xml" ContentType="application/vnd.openxmlformats-officedocument.spreadsheetml.table+xml"/>
  <Override PartName="/xl/comments5.xml" ContentType="application/vnd.openxmlformats-officedocument.spreadsheetml.comments+xml"/>
  <Override PartName="/xl/threadedComments/threadedComment3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uller\Downloads\"/>
    </mc:Choice>
  </mc:AlternateContent>
  <xr:revisionPtr revIDLastSave="0" documentId="8_{3CA7FEA9-578A-4F01-B762-05EC136B8AD5}" xr6:coauthVersionLast="47" xr6:coauthVersionMax="47" xr10:uidLastSave="{00000000-0000-0000-0000-000000000000}"/>
  <workbookProtection workbookAlgorithmName="SHA-512" workbookHashValue="URzQr6E5OqWBLtMo/oJpVCn9dxk82ZeZUMF6X6TzSFRyu6NjR3Lfn5Vro1eFhaslNeqSnU1T89ot/rcgQ2VvAQ==" workbookSaltValue="HXELkyFQ9tNb7OSkytnCew==" workbookSpinCount="100000" lockStructure="1"/>
  <bookViews>
    <workbookView xWindow="10896" yWindow="12852" windowWidth="23256" windowHeight="12456" firstSheet="11" activeTab="32" xr2:uid="{00000000-000D-0000-FFFF-FFFF00000000}"/>
  </bookViews>
  <sheets>
    <sheet name="Prévisionnel" sheetId="26" state="hidden" r:id="rId1"/>
    <sheet name="Budget analytique" sheetId="4" state="hidden" r:id="rId2"/>
    <sheet name="PRODUITS" sheetId="2" state="hidden" r:id="rId3"/>
    <sheet name="synthèse" sheetId="3" state="hidden" r:id="rId4"/>
    <sheet name="Récap séjours ouverts" sheetId="20" state="hidden" r:id="rId5"/>
    <sheet name="CHARGES" sheetId="1" state="hidden" r:id="rId6"/>
    <sheet name="OLD BP Fonct" sheetId="15" state="hidden" r:id="rId7"/>
    <sheet name="BP Petit Bivouac - P2" sheetId="55" state="hidden" r:id="rId8"/>
    <sheet name="Recap Petit + Grand Bivouac" sheetId="54" state="hidden" r:id="rId9"/>
    <sheet name="Simul prix petit bivouac" sheetId="56" state="hidden" r:id="rId10"/>
    <sheet name="Compta" sheetId="50" state="hidden" r:id="rId11"/>
    <sheet name="Budget CR" sheetId="5" r:id="rId12"/>
    <sheet name="TCD" sheetId="25" state="hidden" r:id="rId13"/>
    <sheet name="Liste Réel" sheetId="51" state="hidden" r:id="rId14"/>
    <sheet name="Liste prévisionnel" sheetId="24" r:id="rId15"/>
    <sheet name="TCD récap" sheetId="40" r:id="rId16"/>
    <sheet name="Soldes banque" sheetId="36" state="hidden" r:id="rId17"/>
    <sheet name="AG" sheetId="37" state="hidden" r:id="rId18"/>
    <sheet name="Camion" sheetId="33" state="hidden" r:id="rId19"/>
    <sheet name="Liste Prévisionnels" sheetId="30" state="hidden" r:id="rId20"/>
    <sheet name="Liste Cpt 6 et 7" sheetId="29" state="hidden" r:id="rId21"/>
    <sheet name="Détails par projet" sheetId="32" state="hidden" r:id="rId22"/>
    <sheet name="Assurance" sheetId="22" state="hidden" r:id="rId23"/>
    <sheet name="MS AD" sheetId="41" state="hidden" r:id="rId24"/>
    <sheet name="BP ROLDIR" sheetId="16" state="hidden" r:id="rId25"/>
    <sheet name="BP Séjour ouvert 1S" sheetId="18" state="hidden" r:id="rId26"/>
    <sheet name="BP Séjour ouvert 2S" sheetId="19" state="hidden" r:id="rId27"/>
    <sheet name="OLD - BP Tremplins" sheetId="14" state="hidden" r:id="rId28"/>
    <sheet name="OLD BP Congrès" sheetId="27" state="hidden" r:id="rId29"/>
    <sheet name="Carnet de bord Sprinter" sheetId="35" state="hidden" r:id="rId30"/>
    <sheet name="Listes détails" sheetId="31" state="hidden" r:id="rId31"/>
    <sheet name="Factures" sheetId="34" state="hidden" r:id="rId32"/>
    <sheet name="BP Petit Bivouac" sheetId="53" r:id="rId33"/>
    <sheet name="RIR" sheetId="38" state="hidden" r:id="rId34"/>
    <sheet name="AG Part" sheetId="39" state="hidden" r:id="rId35"/>
    <sheet name="Rapport" sheetId="49" state="hidden" r:id="rId36"/>
    <sheet name="Rapport 1 indicateur" sheetId="43" state="hidden" r:id="rId37"/>
    <sheet name="Rapport 2 - Sommaire" sheetId="45" state="hidden" r:id="rId38"/>
    <sheet name="Rapport 3 - balance analytique" sheetId="46" state="hidden" r:id="rId39"/>
    <sheet name="Rapport 4 - Detail" sheetId="47" state="hidden" r:id="rId40"/>
    <sheet name="Rapport 5 - Treso" sheetId="48" state="hidden" r:id="rId41"/>
    <sheet name="Récap BAFA" sheetId="13" state="hidden" r:id="rId42"/>
    <sheet name="BP BAFA Base" sheetId="11" state="hidden" r:id="rId43"/>
    <sheet name="BP BAFA Appro" sheetId="12" state="hidden" r:id="rId44"/>
    <sheet name="SLA V1" sheetId="6" state="hidden" r:id="rId45"/>
    <sheet name="SLA V2 " sheetId="7" state="hidden" r:id="rId46"/>
    <sheet name="Feuil1" sheetId="8" state="hidden" r:id="rId47"/>
  </sheets>
  <externalReferences>
    <externalReference r:id="rId48"/>
    <externalReference r:id="rId49"/>
  </externalReferences>
  <definedNames>
    <definedName name="_xlnm._FilterDatabase" localSheetId="14" hidden="1">'Liste prévisionnel'!$A$2:$K$57</definedName>
    <definedName name="_xlnm._FilterDatabase" localSheetId="19" hidden="1">'Liste Prévisionnels'!$A$2:$H$49</definedName>
    <definedName name="_xlnm._FilterDatabase" localSheetId="13" hidden="1">'Liste Réel'!$A$2:$K$290</definedName>
    <definedName name="_xlnm._FilterDatabase" localSheetId="30" hidden="1">'Listes détails'!$A$1:$H$12</definedName>
    <definedName name="a" localSheetId="10">#REF!</definedName>
    <definedName name="a" localSheetId="21">#REF!</definedName>
    <definedName name="a" localSheetId="31">#REF!</definedName>
    <definedName name="a" localSheetId="19">#REF!</definedName>
    <definedName name="a" localSheetId="28">#REF!</definedName>
    <definedName name="a" localSheetId="0">#REF!</definedName>
    <definedName name="a" localSheetId="35">#REF!</definedName>
    <definedName name="a" localSheetId="37">#REF!</definedName>
    <definedName name="a" localSheetId="38">#REF!</definedName>
    <definedName name="a" localSheetId="39">#REF!</definedName>
    <definedName name="a" localSheetId="40">#REF!</definedName>
    <definedName name="a">#REF!</definedName>
    <definedName name="Analy">[1]Critères!$H$2:$H$19</definedName>
    <definedName name="Opération">[1]Critères!$L$3:$L$20</definedName>
    <definedName name="OpérationN">[1]Critères!$AJ$3:$AJ$6</definedName>
    <definedName name="_xlnm.Print_Area" localSheetId="1">'Budget analytique'!$A$1:$K$38</definedName>
    <definedName name="Print_Area_0" localSheetId="1">'Budget analytique'!$A$1:$K$38</definedName>
    <definedName name="TotalConstruction" localSheetId="10">#REF!</definedName>
    <definedName name="TotalConstruction" localSheetId="21">#REF!</definedName>
    <definedName name="TotalConstruction" localSheetId="31">#REF!</definedName>
    <definedName name="TotalConstruction" localSheetId="19">#REF!</definedName>
    <definedName name="TotalConstruction" localSheetId="28">#REF!</definedName>
    <definedName name="TotalConstruction" localSheetId="0">#REF!</definedName>
    <definedName name="TotalConstruction" localSheetId="2">#REF!</definedName>
    <definedName name="TotalConstruction" localSheetId="35">#REF!</definedName>
    <definedName name="TotalConstruction" localSheetId="37">#REF!</definedName>
    <definedName name="TotalConstruction" localSheetId="38">#REF!</definedName>
    <definedName name="TotalConstruction" localSheetId="39">#REF!</definedName>
    <definedName name="TotalConstruction" localSheetId="40">#REF!</definedName>
    <definedName name="TotalConstruction" localSheetId="45">#REF!</definedName>
    <definedName name="TotalConstruction">#REF!</definedName>
    <definedName name="TotalInstallation" localSheetId="10">#REF!</definedName>
    <definedName name="TotalInstallation" localSheetId="21">#REF!</definedName>
    <definedName name="TotalInstallation" localSheetId="31">#REF!</definedName>
    <definedName name="TotalInstallation" localSheetId="19">#REF!</definedName>
    <definedName name="TotalInstallation" localSheetId="28">#REF!</definedName>
    <definedName name="TotalInstallation" localSheetId="0">#REF!</definedName>
    <definedName name="TotalInstallation" localSheetId="2">#REF!</definedName>
    <definedName name="TotalInstallation" localSheetId="35">#REF!</definedName>
    <definedName name="TotalInstallation" localSheetId="37">#REF!</definedName>
    <definedName name="TotalInstallation" localSheetId="38">#REF!</definedName>
    <definedName name="TotalInstallation" localSheetId="39">#REF!</definedName>
    <definedName name="TotalInstallation" localSheetId="40">#REF!</definedName>
    <definedName name="TotalInstallation" localSheetId="45">#REF!</definedName>
    <definedName name="TotalInstallation">#REF!</definedName>
    <definedName name="TotalPlanification" localSheetId="10">#REF!</definedName>
    <definedName name="TotalPlanification" localSheetId="21">#REF!</definedName>
    <definedName name="TotalPlanification" localSheetId="31">#REF!</definedName>
    <definedName name="TotalPlanification" localSheetId="19">#REF!</definedName>
    <definedName name="TotalPlanification" localSheetId="28">#REF!</definedName>
    <definedName name="TotalPlanification" localSheetId="0">#REF!</definedName>
    <definedName name="TotalPlanification" localSheetId="2">#REF!</definedName>
    <definedName name="TotalPlanification" localSheetId="35">#REF!</definedName>
    <definedName name="TotalPlanification" localSheetId="37">#REF!</definedName>
    <definedName name="TotalPlanification" localSheetId="38">#REF!</definedName>
    <definedName name="TotalPlanification" localSheetId="39">#REF!</definedName>
    <definedName name="TotalPlanification" localSheetId="40">#REF!</definedName>
    <definedName name="TotalPlanification" localSheetId="45">#REF!</definedName>
    <definedName name="TotalPlanification">#REF!</definedName>
    <definedName name="TotalPlanification2" localSheetId="10">#REF!</definedName>
    <definedName name="TotalPlanification2" localSheetId="21">#REF!</definedName>
    <definedName name="TotalPlanification2" localSheetId="31">#REF!</definedName>
    <definedName name="TotalPlanification2" localSheetId="19">#REF!</definedName>
    <definedName name="TotalPlanification2" localSheetId="28">#REF!</definedName>
    <definedName name="TotalPlanification2" localSheetId="0">#REF!</definedName>
    <definedName name="TotalPlanification2" localSheetId="2">#REF!</definedName>
    <definedName name="TotalPlanification2" localSheetId="35">#REF!</definedName>
    <definedName name="TotalPlanification2" localSheetId="37">#REF!</definedName>
    <definedName name="TotalPlanification2" localSheetId="38">#REF!</definedName>
    <definedName name="TotalPlanification2" localSheetId="39">#REF!</definedName>
    <definedName name="TotalPlanification2" localSheetId="40">#REF!</definedName>
    <definedName name="TotalPlanification2" localSheetId="45">#REF!</definedName>
    <definedName name="TotalPlanification2">#REF!</definedName>
    <definedName name="TotalPlanification3" localSheetId="10">#REF!</definedName>
    <definedName name="TotalPlanification3" localSheetId="21">#REF!</definedName>
    <definedName name="TotalPlanification3" localSheetId="31">#REF!</definedName>
    <definedName name="TotalPlanification3" localSheetId="19">#REF!</definedName>
    <definedName name="TotalPlanification3" localSheetId="28">#REF!</definedName>
    <definedName name="TotalPlanification3" localSheetId="0">#REF!</definedName>
    <definedName name="TotalPlanification3" localSheetId="35">#REF!</definedName>
    <definedName name="TotalPlanification3" localSheetId="37">#REF!</definedName>
    <definedName name="TotalPlanification3" localSheetId="38">#REF!</definedName>
    <definedName name="TotalPlanification3" localSheetId="39">#REF!</definedName>
    <definedName name="TotalPlanification3" localSheetId="40">#REF!</definedName>
    <definedName name="TotalPlanification3">#REF!</definedName>
    <definedName name="TotalTest" localSheetId="10">#REF!</definedName>
    <definedName name="TotalTest" localSheetId="21">#REF!</definedName>
    <definedName name="TotalTest" localSheetId="31">#REF!</definedName>
    <definedName name="TotalTest" localSheetId="19">#REF!</definedName>
    <definedName name="TotalTest" localSheetId="28">#REF!</definedName>
    <definedName name="TotalTest" localSheetId="0">#REF!</definedName>
    <definedName name="TotalTest" localSheetId="2">#REF!</definedName>
    <definedName name="TotalTest" localSheetId="35">#REF!</definedName>
    <definedName name="TotalTest" localSheetId="37">#REF!</definedName>
    <definedName name="TotalTest" localSheetId="38">#REF!</definedName>
    <definedName name="TotalTest" localSheetId="39">#REF!</definedName>
    <definedName name="TotalTest" localSheetId="40">#REF!</definedName>
    <definedName name="TotalTest" localSheetId="45">#REF!</definedName>
    <definedName name="TotalTest">#REF!</definedName>
  </definedNames>
  <calcPr calcId="191028"/>
  <pivotCaches>
    <pivotCache cacheId="0" r:id="rId50"/>
    <pivotCache cacheId="1" r:id="rId51"/>
    <pivotCache cacheId="10" r:id="rId5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54" i="53" l="1"/>
  <c r="K53" i="53"/>
  <c r="K51" i="53"/>
  <c r="K49" i="53" s="1"/>
  <c r="K50" i="53"/>
  <c r="F59" i="53"/>
  <c r="F57" i="53"/>
  <c r="R30" i="24"/>
  <c r="R31" i="24"/>
  <c r="R27" i="24"/>
  <c r="R32" i="24"/>
  <c r="R11" i="24"/>
  <c r="R6" i="24"/>
  <c r="R33" i="24"/>
  <c r="R34" i="24"/>
  <c r="R24" i="24"/>
  <c r="R12" i="24"/>
  <c r="R7" i="24"/>
  <c r="R8" i="24"/>
  <c r="R13" i="24"/>
  <c r="R35" i="24"/>
  <c r="R46" i="24"/>
  <c r="R50" i="24"/>
  <c r="R43" i="24"/>
  <c r="R47" i="24"/>
  <c r="R51" i="24"/>
  <c r="R20" i="24"/>
  <c r="R48" i="24"/>
  <c r="R52" i="24"/>
  <c r="R21" i="24"/>
  <c r="R36" i="24"/>
  <c r="R22" i="24"/>
  <c r="R17" i="24"/>
  <c r="R37" i="24"/>
  <c r="R38" i="24"/>
  <c r="R18" i="24"/>
  <c r="R9" i="24"/>
  <c r="R14" i="24"/>
  <c r="R54" i="24"/>
  <c r="R28" i="24"/>
  <c r="R4" i="24"/>
  <c r="R45" i="24"/>
  <c r="R25" i="24"/>
  <c r="R55" i="24"/>
  <c r="R26" i="24"/>
  <c r="R39" i="24"/>
  <c r="R40" i="24"/>
  <c r="R3" i="24"/>
  <c r="R16" i="24"/>
  <c r="R5" i="24"/>
  <c r="R44" i="24"/>
  <c r="R56" i="24"/>
  <c r="R19" i="24"/>
  <c r="R23" i="24"/>
  <c r="R49" i="24"/>
  <c r="R53" i="24"/>
  <c r="R29" i="24"/>
  <c r="R41" i="24"/>
  <c r="R10" i="24"/>
  <c r="R15" i="24"/>
  <c r="R42" i="24"/>
  <c r="R57" i="24"/>
  <c r="Q3" i="24"/>
  <c r="Q5" i="24"/>
  <c r="Q4" i="24"/>
  <c r="Q12" i="24"/>
  <c r="Q46" i="24"/>
  <c r="Q50" i="24"/>
  <c r="Q22" i="24"/>
  <c r="Q26" i="24"/>
  <c r="Q30" i="24"/>
  <c r="Q43" i="24"/>
  <c r="Q7" i="24"/>
  <c r="Q28" i="24"/>
  <c r="Q17" i="24"/>
  <c r="Q54" i="24"/>
  <c r="Q31" i="24"/>
  <c r="Q38" i="24"/>
  <c r="Q8" i="24"/>
  <c r="Q13" i="24"/>
  <c r="Q24" i="24"/>
  <c r="Q16" i="24"/>
  <c r="Q55" i="24"/>
  <c r="Q18" i="24"/>
  <c r="Q33" i="24"/>
  <c r="Q44" i="24"/>
  <c r="Q11" i="24"/>
  <c r="Q47" i="24"/>
  <c r="Q51" i="24"/>
  <c r="Q20" i="24"/>
  <c r="Q6" i="24"/>
  <c r="Q19" i="24"/>
  <c r="Q56" i="24"/>
  <c r="Q27" i="24"/>
  <c r="Q36" i="24"/>
  <c r="Q23" i="24"/>
  <c r="Q10" i="24"/>
  <c r="Q15" i="24"/>
  <c r="Q9" i="24"/>
  <c r="Q14" i="24"/>
  <c r="Q39" i="24"/>
  <c r="Q34" i="24"/>
  <c r="Q29" i="24"/>
  <c r="Q49" i="24"/>
  <c r="Q53" i="24"/>
  <c r="Q48" i="24"/>
  <c r="Q52" i="24"/>
  <c r="Q32" i="24"/>
  <c r="Q25" i="24"/>
  <c r="Q35" i="24"/>
  <c r="Q40" i="24"/>
  <c r="Q37" i="24"/>
  <c r="Q45" i="24"/>
  <c r="Q21" i="24"/>
  <c r="Q42" i="24"/>
  <c r="Q41" i="24"/>
  <c r="Q57" i="24"/>
  <c r="E13" i="24"/>
  <c r="E8" i="24"/>
  <c r="E41" i="24"/>
  <c r="N41" i="24" s="1"/>
  <c r="E42" i="24"/>
  <c r="N42" i="24" s="1"/>
  <c r="E37" i="24"/>
  <c r="O37" i="24" s="1"/>
  <c r="E40" i="24"/>
  <c r="O40" i="24" s="1"/>
  <c r="E35" i="24"/>
  <c r="O35" i="24" s="1"/>
  <c r="E32" i="24"/>
  <c r="N32" i="24" s="1"/>
  <c r="E34" i="24"/>
  <c r="O34" i="24" s="1"/>
  <c r="E39" i="24"/>
  <c r="N39" i="24" s="1"/>
  <c r="E36" i="24"/>
  <c r="O36" i="24" s="1"/>
  <c r="E33" i="24"/>
  <c r="O33" i="24" s="1"/>
  <c r="E38" i="24"/>
  <c r="O38" i="24" s="1"/>
  <c r="E30" i="24"/>
  <c r="O30" i="24" s="1"/>
  <c r="N57" i="24"/>
  <c r="O57" i="24"/>
  <c r="P57" i="24"/>
  <c r="F44" i="53"/>
  <c r="F39" i="53"/>
  <c r="D41" i="53"/>
  <c r="D40" i="53"/>
  <c r="D32" i="53"/>
  <c r="F32" i="53" s="1"/>
  <c r="D30" i="53"/>
  <c r="D22" i="53"/>
  <c r="D31" i="53"/>
  <c r="F31" i="53" s="1"/>
  <c r="F25" i="53"/>
  <c r="F23" i="53"/>
  <c r="F18" i="53"/>
  <c r="L35" i="54"/>
  <c r="K35" i="54"/>
  <c r="I35" i="54"/>
  <c r="J35" i="54"/>
  <c r="H35" i="54"/>
  <c r="N77" i="56"/>
  <c r="N76" i="56"/>
  <c r="O71" i="56"/>
  <c r="O70" i="56"/>
  <c r="O69" i="56"/>
  <c r="O68" i="56"/>
  <c r="O67" i="56"/>
  <c r="N71" i="56"/>
  <c r="N69" i="56"/>
  <c r="N68" i="56"/>
  <c r="N67" i="56"/>
  <c r="D64" i="56"/>
  <c r="G73" i="56"/>
  <c r="G72" i="56"/>
  <c r="G71" i="56"/>
  <c r="G70" i="56"/>
  <c r="G69" i="56"/>
  <c r="H70" i="56"/>
  <c r="J75" i="56"/>
  <c r="H74" i="56"/>
  <c r="G74" i="56"/>
  <c r="D74" i="56"/>
  <c r="D73" i="56"/>
  <c r="D72" i="56"/>
  <c r="D71" i="56"/>
  <c r="D70" i="56"/>
  <c r="D69" i="56"/>
  <c r="C74" i="56"/>
  <c r="C73" i="56"/>
  <c r="C72" i="56"/>
  <c r="C71" i="56"/>
  <c r="C70" i="56"/>
  <c r="C69" i="56"/>
  <c r="E52" i="56"/>
  <c r="E64" i="56"/>
  <c r="F64" i="56"/>
  <c r="H52" i="56"/>
  <c r="B52" i="56"/>
  <c r="K47" i="56"/>
  <c r="K46" i="56"/>
  <c r="I47" i="56"/>
  <c r="H47" i="56"/>
  <c r="G47" i="56"/>
  <c r="F47" i="56"/>
  <c r="E47" i="56"/>
  <c r="I46" i="56"/>
  <c r="H46" i="56"/>
  <c r="G46" i="56"/>
  <c r="F46" i="56"/>
  <c r="E46" i="56"/>
  <c r="J47" i="56"/>
  <c r="J46" i="56"/>
  <c r="J40" i="56"/>
  <c r="J39" i="56"/>
  <c r="I36" i="56"/>
  <c r="H36" i="56"/>
  <c r="G36" i="56"/>
  <c r="F36" i="56"/>
  <c r="E36" i="56"/>
  <c r="J35" i="56"/>
  <c r="J34" i="56"/>
  <c r="I32" i="56"/>
  <c r="H32" i="56"/>
  <c r="G32" i="56"/>
  <c r="F32" i="56"/>
  <c r="E32" i="56"/>
  <c r="J31" i="56"/>
  <c r="J30" i="56"/>
  <c r="I28" i="56"/>
  <c r="H28" i="56"/>
  <c r="G28" i="56"/>
  <c r="F28" i="56"/>
  <c r="E28" i="56"/>
  <c r="J27" i="56"/>
  <c r="J26" i="56"/>
  <c r="I24" i="56"/>
  <c r="H24" i="56"/>
  <c r="G24" i="56"/>
  <c r="F24" i="56"/>
  <c r="E24" i="56"/>
  <c r="J23" i="56"/>
  <c r="J22" i="56"/>
  <c r="I20" i="56"/>
  <c r="H20" i="56"/>
  <c r="G20" i="56"/>
  <c r="F20" i="56"/>
  <c r="E20" i="56"/>
  <c r="J19" i="56"/>
  <c r="J18" i="56"/>
  <c r="I16" i="56"/>
  <c r="H16" i="56"/>
  <c r="G16" i="56"/>
  <c r="F16" i="56"/>
  <c r="E16" i="56"/>
  <c r="J15" i="56"/>
  <c r="J14" i="56"/>
  <c r="I12" i="56"/>
  <c r="H12" i="56"/>
  <c r="G12" i="56"/>
  <c r="F12" i="56"/>
  <c r="E12" i="56"/>
  <c r="J11" i="56"/>
  <c r="J10" i="56"/>
  <c r="J7" i="56"/>
  <c r="J6" i="56"/>
  <c r="J8" i="56"/>
  <c r="I8" i="56"/>
  <c r="H8" i="56"/>
  <c r="G8" i="56"/>
  <c r="F8" i="56"/>
  <c r="E8" i="56"/>
  <c r="J4" i="56"/>
  <c r="I4" i="56"/>
  <c r="H4" i="56"/>
  <c r="G4" i="56"/>
  <c r="F4" i="56"/>
  <c r="E4" i="56"/>
  <c r="J3" i="56"/>
  <c r="J2" i="56"/>
  <c r="E35" i="54"/>
  <c r="D35" i="54"/>
  <c r="F35" i="54" s="1"/>
  <c r="F39" i="55"/>
  <c r="G16" i="54"/>
  <c r="G17" i="54"/>
  <c r="G18" i="54" s="1"/>
  <c r="G19" i="54" s="1"/>
  <c r="G20" i="54" s="1"/>
  <c r="C16" i="54"/>
  <c r="C17" i="54" s="1"/>
  <c r="C18" i="54" s="1"/>
  <c r="C19" i="54" s="1"/>
  <c r="C20" i="54" s="1"/>
  <c r="F22" i="54"/>
  <c r="B22" i="54"/>
  <c r="H20" i="54"/>
  <c r="D20" i="54"/>
  <c r="H19" i="54"/>
  <c r="D19" i="54"/>
  <c r="H18" i="54"/>
  <c r="D18" i="54"/>
  <c r="H17" i="54"/>
  <c r="D17" i="54"/>
  <c r="H16" i="54"/>
  <c r="H22" i="54" s="1"/>
  <c r="D16" i="54"/>
  <c r="D22" i="54" s="1"/>
  <c r="D36" i="55"/>
  <c r="F36" i="55" s="1"/>
  <c r="D35" i="55"/>
  <c r="F35" i="55" s="1"/>
  <c r="F33" i="55"/>
  <c r="F37" i="55" s="1"/>
  <c r="I10" i="55"/>
  <c r="C9" i="55"/>
  <c r="K8" i="55"/>
  <c r="M7" i="55"/>
  <c r="M6" i="55"/>
  <c r="M5" i="55"/>
  <c r="M4" i="55"/>
  <c r="I7" i="5"/>
  <c r="P40" i="24"/>
  <c r="P35" i="24"/>
  <c r="P42" i="24"/>
  <c r="P31" i="24"/>
  <c r="P32" i="24"/>
  <c r="F9" i="54"/>
  <c r="B9" i="54"/>
  <c r="G7" i="54"/>
  <c r="H7" i="54" s="1"/>
  <c r="G6" i="54"/>
  <c r="H6" i="54" s="1"/>
  <c r="G5" i="54"/>
  <c r="H5" i="54" s="1"/>
  <c r="G4" i="54"/>
  <c r="H4" i="54" s="1"/>
  <c r="G3" i="54"/>
  <c r="H3" i="54" s="1"/>
  <c r="C7" i="54"/>
  <c r="D7" i="54" s="1"/>
  <c r="C6" i="54"/>
  <c r="D6" i="54" s="1"/>
  <c r="C5" i="54"/>
  <c r="D5" i="54" s="1"/>
  <c r="C4" i="54"/>
  <c r="D4" i="54" s="1"/>
  <c r="C3" i="54"/>
  <c r="D3" i="54" s="1"/>
  <c r="F40" i="53"/>
  <c r="M7" i="53"/>
  <c r="M6" i="53"/>
  <c r="M5" i="53"/>
  <c r="M4" i="53"/>
  <c r="F38" i="53"/>
  <c r="I10" i="53"/>
  <c r="C9" i="53"/>
  <c r="K8" i="53"/>
  <c r="P39" i="24"/>
  <c r="P34" i="24"/>
  <c r="P37" i="24"/>
  <c r="P41" i="24"/>
  <c r="P38" i="24"/>
  <c r="P36" i="24"/>
  <c r="N44" i="24"/>
  <c r="O44" i="24"/>
  <c r="P44" i="24"/>
  <c r="P33" i="24"/>
  <c r="N43" i="24"/>
  <c r="O43" i="24"/>
  <c r="P43" i="24"/>
  <c r="E15" i="24"/>
  <c r="N15" i="24" s="1"/>
  <c r="E10" i="24"/>
  <c r="E7" i="24"/>
  <c r="O7" i="24" s="1"/>
  <c r="E12" i="24"/>
  <c r="N12" i="24" s="1"/>
  <c r="N8" i="24"/>
  <c r="N5" i="24"/>
  <c r="N4" i="24"/>
  <c r="O5" i="24"/>
  <c r="O4" i="24"/>
  <c r="P5" i="24"/>
  <c r="P4" i="24"/>
  <c r="N29" i="24"/>
  <c r="O29" i="24"/>
  <c r="P29" i="24"/>
  <c r="P8" i="24"/>
  <c r="P9" i="24"/>
  <c r="O9" i="24"/>
  <c r="N9" i="24"/>
  <c r="O54" i="24"/>
  <c r="N17" i="24"/>
  <c r="N28" i="24"/>
  <c r="E27" i="24"/>
  <c r="M1" i="51"/>
  <c r="J1" i="51"/>
  <c r="G1" i="51"/>
  <c r="N10" i="24"/>
  <c r="O10" i="24"/>
  <c r="P10" i="24"/>
  <c r="N46" i="24"/>
  <c r="N48" i="24"/>
  <c r="N47" i="24"/>
  <c r="O46" i="24"/>
  <c r="O48" i="24"/>
  <c r="O47" i="24"/>
  <c r="P46" i="24"/>
  <c r="P48" i="24"/>
  <c r="P47" i="24"/>
  <c r="N19" i="24"/>
  <c r="N27" i="24"/>
  <c r="N16" i="24"/>
  <c r="H34" i="46" s="1"/>
  <c r="N45" i="24"/>
  <c r="H14" i="46" s="1"/>
  <c r="N50" i="24"/>
  <c r="N52" i="24"/>
  <c r="N21" i="24"/>
  <c r="N23" i="24"/>
  <c r="N14" i="24"/>
  <c r="N3" i="24"/>
  <c r="H36" i="46" s="1"/>
  <c r="N24" i="24"/>
  <c r="H41" i="46" s="1"/>
  <c r="N54" i="24"/>
  <c r="N49" i="24"/>
  <c r="N53" i="24"/>
  <c r="N56" i="24"/>
  <c r="N22" i="24"/>
  <c r="N25" i="24"/>
  <c r="N26" i="24"/>
  <c r="N11" i="24"/>
  <c r="N20" i="24"/>
  <c r="N51" i="24"/>
  <c r="N6" i="24"/>
  <c r="O19" i="24"/>
  <c r="O27" i="24"/>
  <c r="O17" i="24"/>
  <c r="O16" i="24"/>
  <c r="I34" i="46" s="1"/>
  <c r="O45" i="24"/>
  <c r="I14" i="46" s="1"/>
  <c r="O50" i="24"/>
  <c r="O52" i="24"/>
  <c r="O21" i="24"/>
  <c r="O23" i="24"/>
  <c r="O14" i="24"/>
  <c r="O3" i="24"/>
  <c r="I36" i="46" s="1"/>
  <c r="O24" i="24"/>
  <c r="I41" i="46" s="1"/>
  <c r="O49" i="24"/>
  <c r="O53" i="24"/>
  <c r="O56" i="24"/>
  <c r="O22" i="24"/>
  <c r="O25" i="24"/>
  <c r="O26" i="24"/>
  <c r="O11" i="24"/>
  <c r="O20" i="24"/>
  <c r="O51" i="24"/>
  <c r="O6" i="24"/>
  <c r="H50" i="5"/>
  <c r="H25" i="5"/>
  <c r="H22" i="5"/>
  <c r="H17" i="5"/>
  <c r="H11" i="5"/>
  <c r="H10" i="5"/>
  <c r="H9" i="5" s="1"/>
  <c r="H65" i="5" s="1"/>
  <c r="H70" i="5" s="1"/>
  <c r="I10" i="46"/>
  <c r="P26" i="24"/>
  <c r="P25" i="24"/>
  <c r="P6" i="24"/>
  <c r="I38" i="46"/>
  <c r="I42" i="46"/>
  <c r="I35" i="46"/>
  <c r="I15" i="46"/>
  <c r="I9" i="46"/>
  <c r="C12" i="48"/>
  <c r="C13" i="48"/>
  <c r="E7" i="48"/>
  <c r="E6" i="48"/>
  <c r="E373" i="47"/>
  <c r="D49" i="46"/>
  <c r="D30" i="46"/>
  <c r="D17" i="46"/>
  <c r="H10" i="46"/>
  <c r="H38" i="46"/>
  <c r="H42" i="46"/>
  <c r="H35" i="46"/>
  <c r="H15" i="46"/>
  <c r="H9" i="46"/>
  <c r="P7" i="24"/>
  <c r="P22" i="24"/>
  <c r="F12" i="41"/>
  <c r="G12" i="41"/>
  <c r="H12" i="41"/>
  <c r="F11" i="41"/>
  <c r="G11" i="41"/>
  <c r="H11" i="41"/>
  <c r="F4" i="41"/>
  <c r="G4" i="41"/>
  <c r="H4" i="41"/>
  <c r="F18" i="41"/>
  <c r="F16" i="41"/>
  <c r="G16" i="41"/>
  <c r="H16" i="41"/>
  <c r="F15" i="41"/>
  <c r="G15" i="41"/>
  <c r="H15" i="41"/>
  <c r="F14" i="41"/>
  <c r="G14" i="41"/>
  <c r="H14" i="41"/>
  <c r="F13" i="41"/>
  <c r="G13" i="41"/>
  <c r="H13" i="41"/>
  <c r="F10" i="41"/>
  <c r="G10" i="41"/>
  <c r="H10" i="41"/>
  <c r="F9" i="41"/>
  <c r="G9" i="41"/>
  <c r="H9" i="41"/>
  <c r="F8" i="41"/>
  <c r="G8" i="41"/>
  <c r="H8" i="41"/>
  <c r="F7" i="41"/>
  <c r="G7" i="41"/>
  <c r="H7" i="41"/>
  <c r="F6" i="41"/>
  <c r="G6" i="41"/>
  <c r="H6" i="41"/>
  <c r="F5" i="41"/>
  <c r="G5" i="41"/>
  <c r="H5" i="41"/>
  <c r="J14" i="32"/>
  <c r="I14" i="32"/>
  <c r="G14" i="32" s="1"/>
  <c r="D14" i="32"/>
  <c r="F14" i="32"/>
  <c r="C17" i="39"/>
  <c r="B17" i="39"/>
  <c r="D1" i="39"/>
  <c r="P56" i="24"/>
  <c r="I32" i="32"/>
  <c r="P18" i="24"/>
  <c r="P55" i="24"/>
  <c r="P49" i="24"/>
  <c r="P53" i="24"/>
  <c r="P54" i="24"/>
  <c r="P19" i="24"/>
  <c r="P16" i="24"/>
  <c r="P15" i="24"/>
  <c r="P17" i="24"/>
  <c r="P45" i="24"/>
  <c r="P3" i="24"/>
  <c r="P50" i="24"/>
  <c r="P24" i="24"/>
  <c r="P52" i="24"/>
  <c r="P21" i="24"/>
  <c r="P27" i="24"/>
  <c r="P23" i="24"/>
  <c r="P14" i="24"/>
  <c r="P12" i="24"/>
  <c r="P28" i="24"/>
  <c r="P13" i="24"/>
  <c r="P11" i="24"/>
  <c r="P20" i="24"/>
  <c r="P51" i="24"/>
  <c r="F7" i="36"/>
  <c r="B4" i="36"/>
  <c r="B6" i="37"/>
  <c r="B7" i="37"/>
  <c r="I28" i="46"/>
  <c r="G18" i="41"/>
  <c r="H18" i="41"/>
  <c r="H16" i="36"/>
  <c r="B20" i="36"/>
  <c r="H28" i="46"/>
  <c r="D36" i="30"/>
  <c r="D40" i="30"/>
  <c r="B3" i="36"/>
  <c r="G10" i="36" s="1"/>
  <c r="O7" i="36"/>
  <c r="O6" i="36"/>
  <c r="O5" i="36"/>
  <c r="O4" i="36"/>
  <c r="O3" i="36"/>
  <c r="O2" i="36"/>
  <c r="O1" i="36"/>
  <c r="E26" i="36"/>
  <c r="E27" i="36"/>
  <c r="B24" i="36"/>
  <c r="B23" i="36"/>
  <c r="D12" i="36"/>
  <c r="G12" i="36" s="1"/>
  <c r="I12" i="36" s="1"/>
  <c r="I49" i="32"/>
  <c r="H49" i="32" s="1"/>
  <c r="D49" i="32"/>
  <c r="D26" i="36"/>
  <c r="D13" i="36"/>
  <c r="G13" i="36" s="1"/>
  <c r="I13" i="36" s="1"/>
  <c r="C49" i="32"/>
  <c r="K49" i="32"/>
  <c r="D27" i="36"/>
  <c r="B49" i="32"/>
  <c r="I37" i="35"/>
  <c r="D48" i="32"/>
  <c r="D47" i="32"/>
  <c r="K47" i="32"/>
  <c r="D46" i="32"/>
  <c r="K46" i="32"/>
  <c r="D45" i="32"/>
  <c r="D44" i="32"/>
  <c r="D43" i="32"/>
  <c r="K43" i="32"/>
  <c r="D35" i="32"/>
  <c r="D34" i="32"/>
  <c r="D33" i="32"/>
  <c r="D32" i="32"/>
  <c r="D31" i="32"/>
  <c r="D38" i="32"/>
  <c r="D39" i="32"/>
  <c r="D40" i="32"/>
  <c r="I36" i="35"/>
  <c r="I30" i="35"/>
  <c r="I25" i="35"/>
  <c r="I22" i="35"/>
  <c r="I20" i="35"/>
  <c r="I12" i="35"/>
  <c r="I11" i="35"/>
  <c r="I8" i="35"/>
  <c r="C43" i="32"/>
  <c r="B43" i="32"/>
  <c r="C46" i="32"/>
  <c r="B46" i="32"/>
  <c r="B47" i="32"/>
  <c r="C47" i="32"/>
  <c r="H18" i="5"/>
  <c r="J18" i="5"/>
  <c r="H16" i="5"/>
  <c r="J16" i="5"/>
  <c r="H15" i="5"/>
  <c r="J15" i="5"/>
  <c r="H14" i="5"/>
  <c r="J14" i="5"/>
  <c r="H13" i="5"/>
  <c r="J13" i="5"/>
  <c r="H12" i="5"/>
  <c r="J12" i="5"/>
  <c r="H30" i="5"/>
  <c r="J30" i="5"/>
  <c r="H29" i="5"/>
  <c r="J29" i="5"/>
  <c r="H28" i="5"/>
  <c r="J28" i="5"/>
  <c r="H27" i="5"/>
  <c r="J27" i="5"/>
  <c r="H26" i="5"/>
  <c r="J26" i="5"/>
  <c r="H24" i="5"/>
  <c r="J24" i="5"/>
  <c r="H23" i="5"/>
  <c r="J23" i="5"/>
  <c r="H54" i="5"/>
  <c r="J54" i="5"/>
  <c r="H53" i="5"/>
  <c r="J53" i="5"/>
  <c r="H52" i="5"/>
  <c r="J52" i="5"/>
  <c r="H51" i="5"/>
  <c r="J51" i="5"/>
  <c r="H49" i="5"/>
  <c r="J49" i="5"/>
  <c r="H48" i="5"/>
  <c r="J48" i="5"/>
  <c r="H63" i="5"/>
  <c r="J63" i="5"/>
  <c r="H62" i="5"/>
  <c r="J62" i="5"/>
  <c r="H61" i="5"/>
  <c r="J61" i="5"/>
  <c r="H60" i="5"/>
  <c r="J60" i="5"/>
  <c r="H59" i="5"/>
  <c r="J59" i="5"/>
  <c r="C64" i="5"/>
  <c r="C63" i="5"/>
  <c r="C61" i="5"/>
  <c r="C60" i="5"/>
  <c r="C59" i="5"/>
  <c r="C57" i="5"/>
  <c r="C55" i="5"/>
  <c r="E55" i="5"/>
  <c r="C54" i="5"/>
  <c r="E54" i="5"/>
  <c r="C53" i="5"/>
  <c r="E53" i="5"/>
  <c r="C52" i="5"/>
  <c r="E52" i="5"/>
  <c r="C51" i="5"/>
  <c r="E51" i="5"/>
  <c r="C50" i="5"/>
  <c r="E50" i="5"/>
  <c r="C49" i="5"/>
  <c r="E49" i="5"/>
  <c r="C48" i="5"/>
  <c r="C46" i="5"/>
  <c r="E46" i="5"/>
  <c r="C45" i="5"/>
  <c r="E45" i="5"/>
  <c r="C44" i="5"/>
  <c r="D42" i="5"/>
  <c r="D38" i="7" s="1"/>
  <c r="C42" i="5"/>
  <c r="E42" i="5"/>
  <c r="C40" i="5"/>
  <c r="E40" i="5"/>
  <c r="C39" i="5"/>
  <c r="C38" i="5"/>
  <c r="C37" i="5"/>
  <c r="C36" i="5"/>
  <c r="C35" i="5"/>
  <c r="E35" i="5"/>
  <c r="C34" i="5"/>
  <c r="E34" i="5"/>
  <c r="C33" i="5"/>
  <c r="E33" i="5"/>
  <c r="C31" i="5"/>
  <c r="E31" i="5"/>
  <c r="C30" i="5"/>
  <c r="E30" i="5"/>
  <c r="C29" i="5"/>
  <c r="E29" i="5"/>
  <c r="C28" i="5"/>
  <c r="C27" i="5"/>
  <c r="C26" i="5"/>
  <c r="E26" i="5"/>
  <c r="C25" i="5"/>
  <c r="E25" i="5"/>
  <c r="C24" i="5"/>
  <c r="E24" i="5"/>
  <c r="C23" i="5"/>
  <c r="C20" i="5"/>
  <c r="E20" i="5"/>
  <c r="C19" i="5"/>
  <c r="E19" i="5"/>
  <c r="C18" i="5"/>
  <c r="C17" i="5"/>
  <c r="E17" i="5"/>
  <c r="C16" i="5"/>
  <c r="C15" i="5"/>
  <c r="E15" i="5"/>
  <c r="C14" i="5"/>
  <c r="C13" i="5"/>
  <c r="C12" i="5"/>
  <c r="E12" i="5"/>
  <c r="C11" i="5"/>
  <c r="E11" i="5"/>
  <c r="C10" i="5"/>
  <c r="E10" i="5"/>
  <c r="I48" i="32"/>
  <c r="H48" i="32" s="1"/>
  <c r="K48" i="32"/>
  <c r="I47" i="32"/>
  <c r="H47" i="32" s="1"/>
  <c r="I46" i="32"/>
  <c r="G46" i="32" s="1"/>
  <c r="I45" i="32"/>
  <c r="K45" i="32"/>
  <c r="I44" i="32"/>
  <c r="H44" i="32" s="1"/>
  <c r="K44" i="32"/>
  <c r="I43" i="32"/>
  <c r="H43" i="32" s="1"/>
  <c r="I40" i="32"/>
  <c r="H40" i="32" s="1"/>
  <c r="K40" i="32"/>
  <c r="I35" i="32"/>
  <c r="G35" i="32" s="1"/>
  <c r="K35" i="32"/>
  <c r="I34" i="32"/>
  <c r="H34" i="32" s="1"/>
  <c r="K34" i="32"/>
  <c r="I33" i="32"/>
  <c r="H33" i="32" s="1"/>
  <c r="K33" i="32"/>
  <c r="A1" i="32"/>
  <c r="J22" i="32"/>
  <c r="J21" i="32"/>
  <c r="J20" i="32"/>
  <c r="I20" i="32"/>
  <c r="G20" i="32" s="1"/>
  <c r="J19" i="32"/>
  <c r="I19" i="32"/>
  <c r="G19" i="32" s="1"/>
  <c r="J18" i="32"/>
  <c r="I18" i="32"/>
  <c r="G18" i="32" s="1"/>
  <c r="J17" i="32"/>
  <c r="I17" i="32"/>
  <c r="G17" i="32" s="1"/>
  <c r="J16" i="32"/>
  <c r="I16" i="32"/>
  <c r="G16" i="32" s="1"/>
  <c r="J15" i="32"/>
  <c r="I15" i="32"/>
  <c r="G15" i="32" s="1"/>
  <c r="J13" i="32"/>
  <c r="J12" i="32"/>
  <c r="J11" i="32"/>
  <c r="I11" i="32"/>
  <c r="G11" i="32" s="1"/>
  <c r="J10" i="32"/>
  <c r="I10" i="32"/>
  <c r="G10" i="32" s="1"/>
  <c r="I22" i="32"/>
  <c r="G22" i="32" s="1"/>
  <c r="I21" i="32"/>
  <c r="G21" i="32" s="1"/>
  <c r="I13" i="32"/>
  <c r="G13" i="32" s="1"/>
  <c r="I12" i="32"/>
  <c r="G12" i="32" s="1"/>
  <c r="F22" i="32"/>
  <c r="F21" i="32"/>
  <c r="F20" i="32"/>
  <c r="F19" i="32"/>
  <c r="F18" i="32"/>
  <c r="F17" i="32"/>
  <c r="F16" i="32"/>
  <c r="F15" i="32"/>
  <c r="F13" i="32"/>
  <c r="F12" i="32"/>
  <c r="F11" i="32"/>
  <c r="F10" i="32"/>
  <c r="D22" i="32"/>
  <c r="D19" i="32"/>
  <c r="D11" i="32"/>
  <c r="D12" i="32"/>
  <c r="D13" i="32"/>
  <c r="D15" i="32"/>
  <c r="D5" i="30"/>
  <c r="D23" i="30"/>
  <c r="D33" i="30"/>
  <c r="D35" i="30"/>
  <c r="D25" i="4"/>
  <c r="D22" i="4"/>
  <c r="D21" i="4"/>
  <c r="D16" i="4"/>
  <c r="E13" i="4"/>
  <c r="D13" i="4"/>
  <c r="E6" i="4"/>
  <c r="D10" i="4"/>
  <c r="D9" i="4"/>
  <c r="D8" i="4"/>
  <c r="E24" i="4"/>
  <c r="D23" i="4"/>
  <c r="D18" i="32"/>
  <c r="C22" i="5"/>
  <c r="I38" i="32"/>
  <c r="H38" i="32" s="1"/>
  <c r="K38" i="32"/>
  <c r="K32" i="32"/>
  <c r="J31" i="32"/>
  <c r="I31" i="32"/>
  <c r="H31" i="32" s="1"/>
  <c r="K31" i="32"/>
  <c r="I39" i="32"/>
  <c r="H39" i="32" s="1"/>
  <c r="K39" i="32"/>
  <c r="F29" i="32"/>
  <c r="A26" i="32"/>
  <c r="F9" i="32"/>
  <c r="E5" i="32"/>
  <c r="C5" i="32"/>
  <c r="C14" i="32"/>
  <c r="B14" i="32"/>
  <c r="J4" i="32"/>
  <c r="J3" i="32"/>
  <c r="D3" i="32"/>
  <c r="H14" i="32"/>
  <c r="C32" i="32"/>
  <c r="B32" i="32"/>
  <c r="C48" i="32"/>
  <c r="B48" i="32"/>
  <c r="C45" i="32"/>
  <c r="B45" i="32"/>
  <c r="C44" i="32"/>
  <c r="B44" i="32"/>
  <c r="K12" i="32"/>
  <c r="E21" i="4"/>
  <c r="E25" i="4"/>
  <c r="E22" i="4"/>
  <c r="E7" i="4"/>
  <c r="D20" i="4"/>
  <c r="D6" i="4"/>
  <c r="E8" i="4"/>
  <c r="E20" i="4"/>
  <c r="E23" i="4"/>
  <c r="E9" i="4"/>
  <c r="D28" i="4"/>
  <c r="D24" i="4"/>
  <c r="E16" i="4"/>
  <c r="D7" i="4"/>
  <c r="E10" i="4"/>
  <c r="E28" i="4"/>
  <c r="C39" i="32"/>
  <c r="B39" i="32"/>
  <c r="C33" i="32"/>
  <c r="B33" i="32"/>
  <c r="C38" i="32"/>
  <c r="B38" i="32"/>
  <c r="C34" i="32"/>
  <c r="B34" i="32"/>
  <c r="C35" i="32"/>
  <c r="B35" i="32"/>
  <c r="C40" i="32"/>
  <c r="B40" i="32"/>
  <c r="C31" i="32"/>
  <c r="B31" i="32"/>
  <c r="D24" i="32"/>
  <c r="D52" i="32"/>
  <c r="C15" i="32"/>
  <c r="B15" i="32"/>
  <c r="C13" i="32"/>
  <c r="B13" i="32"/>
  <c r="H16" i="32"/>
  <c r="H17" i="32"/>
  <c r="H15" i="32"/>
  <c r="H18" i="32"/>
  <c r="C19" i="32"/>
  <c r="B19" i="32"/>
  <c r="H19" i="32"/>
  <c r="C22" i="32"/>
  <c r="B22" i="32"/>
  <c r="H20" i="32"/>
  <c r="H12" i="32"/>
  <c r="H21" i="32"/>
  <c r="H13" i="32"/>
  <c r="H22" i="32"/>
  <c r="C12" i="32"/>
  <c r="B12" i="32"/>
  <c r="C11" i="32"/>
  <c r="B11" i="32"/>
  <c r="C18" i="32"/>
  <c r="B18" i="32"/>
  <c r="H11" i="32"/>
  <c r="H10" i="32"/>
  <c r="D54" i="32"/>
  <c r="J38" i="27"/>
  <c r="F38" i="27"/>
  <c r="F34" i="27"/>
  <c r="D34" i="27"/>
  <c r="C34" i="27"/>
  <c r="L33" i="27"/>
  <c r="D33" i="27"/>
  <c r="J30" i="27"/>
  <c r="F30" i="27"/>
  <c r="G29" i="27"/>
  <c r="G28" i="27"/>
  <c r="G27" i="27"/>
  <c r="L26" i="27"/>
  <c r="G26" i="27"/>
  <c r="L25" i="27"/>
  <c r="G25" i="27"/>
  <c r="C25" i="27"/>
  <c r="C21" i="27"/>
  <c r="G21" i="27"/>
  <c r="G20" i="27"/>
  <c r="D20" i="27"/>
  <c r="F20" i="27"/>
  <c r="H20" i="27"/>
  <c r="C19" i="27"/>
  <c r="G19" i="27"/>
  <c r="L18" i="27"/>
  <c r="C18" i="27"/>
  <c r="G18" i="27"/>
  <c r="C17" i="27"/>
  <c r="G17" i="27"/>
  <c r="H16" i="27"/>
  <c r="G16" i="27"/>
  <c r="F16" i="27"/>
  <c r="C15" i="27"/>
  <c r="G15" i="27"/>
  <c r="I10" i="27"/>
  <c r="D15" i="27"/>
  <c r="H15" i="27"/>
  <c r="K8" i="27"/>
  <c r="D3" i="22"/>
  <c r="J4" i="22"/>
  <c r="D5" i="22"/>
  <c r="J5" i="22"/>
  <c r="D6" i="22"/>
  <c r="J6" i="22"/>
  <c r="D7" i="22"/>
  <c r="J16" i="27"/>
  <c r="J20" i="27"/>
  <c r="D18" i="27"/>
  <c r="H18" i="27"/>
  <c r="D21" i="27"/>
  <c r="H21" i="27"/>
  <c r="J21" i="27"/>
  <c r="J15" i="27"/>
  <c r="D19" i="27"/>
  <c r="H19" i="27"/>
  <c r="J19" i="27"/>
  <c r="D17" i="27"/>
  <c r="H17" i="27"/>
  <c r="J17" i="27"/>
  <c r="F15" i="27"/>
  <c r="F19" i="27"/>
  <c r="F21" i="27"/>
  <c r="L15" i="27"/>
  <c r="J22" i="27"/>
  <c r="J31" i="27"/>
  <c r="J37" i="27"/>
  <c r="J39" i="27"/>
  <c r="F17" i="27"/>
  <c r="F22" i="27"/>
  <c r="F31" i="27"/>
  <c r="F37" i="27"/>
  <c r="F39" i="27"/>
  <c r="F41" i="27"/>
  <c r="AP10" i="1"/>
  <c r="C17" i="15"/>
  <c r="AP34" i="1"/>
  <c r="B10" i="20"/>
  <c r="AL13" i="1"/>
  <c r="B13" i="20"/>
  <c r="AL30" i="1"/>
  <c r="B5" i="20"/>
  <c r="AL12" i="1"/>
  <c r="C52" i="19"/>
  <c r="C51" i="19"/>
  <c r="F51" i="19"/>
  <c r="C50" i="19"/>
  <c r="C49" i="19"/>
  <c r="C48" i="19"/>
  <c r="C47" i="19"/>
  <c r="F47" i="19"/>
  <c r="C52" i="18"/>
  <c r="C51" i="18"/>
  <c r="C50" i="18"/>
  <c r="C49" i="18"/>
  <c r="C48" i="18"/>
  <c r="C47" i="18"/>
  <c r="F47" i="18"/>
  <c r="C72" i="19"/>
  <c r="J70" i="19"/>
  <c r="C70" i="19"/>
  <c r="J69" i="19"/>
  <c r="C69" i="19"/>
  <c r="J68" i="19"/>
  <c r="C68" i="19"/>
  <c r="J67" i="19"/>
  <c r="C67" i="19"/>
  <c r="J65" i="19"/>
  <c r="D65" i="19"/>
  <c r="F65" i="19"/>
  <c r="J64" i="19"/>
  <c r="D64" i="19"/>
  <c r="F64" i="19"/>
  <c r="J63" i="19"/>
  <c r="J66" i="19"/>
  <c r="J58" i="19"/>
  <c r="I56" i="19"/>
  <c r="I54" i="19"/>
  <c r="J52" i="19"/>
  <c r="D52" i="19"/>
  <c r="F52" i="19"/>
  <c r="J51" i="19"/>
  <c r="J50" i="19"/>
  <c r="D50" i="19"/>
  <c r="J49" i="19"/>
  <c r="D49" i="19"/>
  <c r="F49" i="19"/>
  <c r="J48" i="19"/>
  <c r="D48" i="19"/>
  <c r="J47" i="19"/>
  <c r="J44" i="19"/>
  <c r="J43" i="19"/>
  <c r="J45" i="19"/>
  <c r="C44" i="19"/>
  <c r="D44" i="19"/>
  <c r="F44" i="19"/>
  <c r="C43" i="19"/>
  <c r="F43" i="19"/>
  <c r="G40" i="19"/>
  <c r="J40" i="19"/>
  <c r="C40" i="19"/>
  <c r="G39" i="19"/>
  <c r="J39" i="19"/>
  <c r="C39" i="19"/>
  <c r="G38" i="19"/>
  <c r="J38" i="19"/>
  <c r="C38" i="19"/>
  <c r="G37" i="19"/>
  <c r="J37" i="19"/>
  <c r="D37" i="19"/>
  <c r="C37" i="19"/>
  <c r="F37" i="19"/>
  <c r="G36" i="19"/>
  <c r="C36" i="19"/>
  <c r="G33" i="19"/>
  <c r="C33" i="19"/>
  <c r="G32" i="19"/>
  <c r="C32" i="19"/>
  <c r="G31" i="19"/>
  <c r="C31" i="19"/>
  <c r="G29" i="19"/>
  <c r="C29" i="19"/>
  <c r="G28" i="19"/>
  <c r="C28" i="19"/>
  <c r="G27" i="19"/>
  <c r="F27" i="19"/>
  <c r="G26" i="19"/>
  <c r="C26" i="19"/>
  <c r="F26" i="19"/>
  <c r="G25" i="19"/>
  <c r="C25" i="19"/>
  <c r="G21" i="19"/>
  <c r="C21" i="19"/>
  <c r="G20" i="19"/>
  <c r="G19" i="19"/>
  <c r="C19" i="19"/>
  <c r="G18" i="19"/>
  <c r="C18" i="19"/>
  <c r="G17" i="19"/>
  <c r="C17" i="19"/>
  <c r="D40" i="19"/>
  <c r="G16" i="19"/>
  <c r="C16" i="19"/>
  <c r="D39" i="19"/>
  <c r="G15" i="19"/>
  <c r="C15" i="19"/>
  <c r="I10" i="19"/>
  <c r="F58" i="19"/>
  <c r="K8" i="19"/>
  <c r="F76" i="19"/>
  <c r="C43" i="18"/>
  <c r="F51" i="18"/>
  <c r="D52" i="18"/>
  <c r="J70" i="18"/>
  <c r="J69" i="18"/>
  <c r="J68" i="18"/>
  <c r="J67" i="18"/>
  <c r="J65" i="18"/>
  <c r="D65" i="18"/>
  <c r="F65" i="18"/>
  <c r="J64" i="18"/>
  <c r="D64" i="18"/>
  <c r="F64" i="18"/>
  <c r="J63" i="18"/>
  <c r="J58" i="18"/>
  <c r="I56" i="18"/>
  <c r="I54" i="18"/>
  <c r="J52" i="18"/>
  <c r="J51" i="18"/>
  <c r="J50" i="18"/>
  <c r="D50" i="18"/>
  <c r="J49" i="18"/>
  <c r="D49" i="18"/>
  <c r="J48" i="18"/>
  <c r="D48" i="18"/>
  <c r="J47" i="18"/>
  <c r="J44" i="18"/>
  <c r="D44" i="18"/>
  <c r="C44" i="18"/>
  <c r="F44" i="18"/>
  <c r="J43" i="18"/>
  <c r="J45" i="18"/>
  <c r="F43" i="18"/>
  <c r="G40" i="18"/>
  <c r="J40" i="18"/>
  <c r="D37" i="18"/>
  <c r="F27" i="18"/>
  <c r="I10" i="18"/>
  <c r="F58" i="18"/>
  <c r="G37" i="18"/>
  <c r="J37" i="18"/>
  <c r="K8" i="18"/>
  <c r="F76" i="18"/>
  <c r="C8" i="20"/>
  <c r="AL6" i="2"/>
  <c r="AH19" i="1"/>
  <c r="AH33" i="1"/>
  <c r="AH10" i="1"/>
  <c r="F16" i="16"/>
  <c r="F34" i="16"/>
  <c r="C34" i="16"/>
  <c r="D33" i="16"/>
  <c r="F33" i="16"/>
  <c r="G29" i="16"/>
  <c r="G28" i="16"/>
  <c r="G27" i="16"/>
  <c r="G26" i="16"/>
  <c r="G25" i="16"/>
  <c r="C25" i="16"/>
  <c r="F30" i="16"/>
  <c r="G21" i="16"/>
  <c r="C21" i="16"/>
  <c r="G20" i="16"/>
  <c r="G19" i="16"/>
  <c r="C19" i="16"/>
  <c r="G18" i="16"/>
  <c r="C18" i="16"/>
  <c r="G17" i="16"/>
  <c r="C17" i="16"/>
  <c r="G16" i="16"/>
  <c r="G15" i="16"/>
  <c r="I10" i="16"/>
  <c r="K8" i="16"/>
  <c r="F38" i="16"/>
  <c r="AH6" i="2"/>
  <c r="AP13" i="2"/>
  <c r="AP28" i="2"/>
  <c r="AP7" i="2"/>
  <c r="AP45" i="1"/>
  <c r="AP40" i="1"/>
  <c r="AP35" i="1"/>
  <c r="AP23" i="1"/>
  <c r="C2" i="15"/>
  <c r="AP18" i="1"/>
  <c r="AP24" i="1"/>
  <c r="G2" i="15"/>
  <c r="AP19" i="2"/>
  <c r="L33" i="14"/>
  <c r="AE16" i="2"/>
  <c r="L18" i="14"/>
  <c r="AE10" i="1"/>
  <c r="L26" i="14"/>
  <c r="AE33" i="1"/>
  <c r="L25" i="14"/>
  <c r="AE19" i="1"/>
  <c r="F38" i="14"/>
  <c r="J38" i="14"/>
  <c r="J30" i="14"/>
  <c r="G16" i="14"/>
  <c r="H16" i="14"/>
  <c r="J16" i="14"/>
  <c r="F16" i="14"/>
  <c r="G20" i="14"/>
  <c r="C21" i="14"/>
  <c r="G21" i="14"/>
  <c r="C15" i="14"/>
  <c r="G15" i="14"/>
  <c r="F34" i="14"/>
  <c r="D34" i="14"/>
  <c r="C34" i="14"/>
  <c r="D33" i="14"/>
  <c r="F30" i="14"/>
  <c r="G29" i="14"/>
  <c r="G28" i="14"/>
  <c r="G27" i="14"/>
  <c r="G26" i="14"/>
  <c r="G25" i="14"/>
  <c r="C25" i="14"/>
  <c r="D20" i="14"/>
  <c r="F20" i="14"/>
  <c r="C19" i="14"/>
  <c r="I10" i="14"/>
  <c r="D19" i="14"/>
  <c r="F19" i="14"/>
  <c r="C18" i="14"/>
  <c r="G18" i="14"/>
  <c r="C17" i="14"/>
  <c r="G17" i="14"/>
  <c r="H19" i="14"/>
  <c r="K8" i="14"/>
  <c r="B7" i="13"/>
  <c r="AJ33" i="1"/>
  <c r="C8" i="13" a="1"/>
  <c r="C8" i="13"/>
  <c r="AJ6" i="2"/>
  <c r="D7" i="13"/>
  <c r="B5" i="13"/>
  <c r="D5" i="13"/>
  <c r="F34" i="12"/>
  <c r="D34" i="12"/>
  <c r="C34" i="12"/>
  <c r="D33" i="12"/>
  <c r="F33" i="12"/>
  <c r="G29" i="12"/>
  <c r="G28" i="12"/>
  <c r="G27" i="12"/>
  <c r="G26" i="12"/>
  <c r="G25" i="12"/>
  <c r="F30" i="12"/>
  <c r="C25" i="12"/>
  <c r="G21" i="12"/>
  <c r="C21" i="12"/>
  <c r="I10" i="12"/>
  <c r="D21" i="12"/>
  <c r="F21" i="12"/>
  <c r="G20" i="12"/>
  <c r="D20" i="12"/>
  <c r="F20" i="12"/>
  <c r="G19" i="12"/>
  <c r="D19" i="12"/>
  <c r="C19" i="12"/>
  <c r="G18" i="12"/>
  <c r="D18" i="12"/>
  <c r="C18" i="12"/>
  <c r="F18" i="12"/>
  <c r="G17" i="12"/>
  <c r="D17" i="12"/>
  <c r="C17" i="12"/>
  <c r="F17" i="12"/>
  <c r="G16" i="12"/>
  <c r="G15" i="12"/>
  <c r="D15" i="12"/>
  <c r="C15" i="12"/>
  <c r="F15" i="12"/>
  <c r="K8" i="12"/>
  <c r="F38" i="12"/>
  <c r="F34" i="11"/>
  <c r="D33" i="11"/>
  <c r="F33" i="11"/>
  <c r="I10" i="11"/>
  <c r="K8" i="11"/>
  <c r="F38" i="11"/>
  <c r="C10" i="16"/>
  <c r="F40" i="19"/>
  <c r="G19" i="14"/>
  <c r="J19" i="14"/>
  <c r="H20" i="14"/>
  <c r="J20" i="14"/>
  <c r="C28" i="15"/>
  <c r="F50" i="19"/>
  <c r="C9" i="13"/>
  <c r="D10" i="13"/>
  <c r="F45" i="19"/>
  <c r="J53" i="19"/>
  <c r="F52" i="18"/>
  <c r="F39" i="19"/>
  <c r="F45" i="18"/>
  <c r="AJ12" i="1"/>
  <c r="D15" i="14"/>
  <c r="H15" i="14"/>
  <c r="J15" i="14"/>
  <c r="F48" i="19"/>
  <c r="F53" i="19"/>
  <c r="J54" i="19"/>
  <c r="J55" i="19"/>
  <c r="J56" i="19"/>
  <c r="F72" i="19"/>
  <c r="J76" i="19"/>
  <c r="D38" i="19"/>
  <c r="F38" i="19"/>
  <c r="C10" i="19"/>
  <c r="J53" i="18"/>
  <c r="J66" i="18"/>
  <c r="C10" i="18"/>
  <c r="D70" i="18"/>
  <c r="F72" i="18"/>
  <c r="J76" i="18"/>
  <c r="J54" i="18"/>
  <c r="J55" i="18"/>
  <c r="C17" i="18"/>
  <c r="C19" i="18"/>
  <c r="G21" i="18"/>
  <c r="C25" i="18"/>
  <c r="F25" i="18"/>
  <c r="B6" i="20"/>
  <c r="AL19" i="1"/>
  <c r="C29" i="18"/>
  <c r="G31" i="18"/>
  <c r="C36" i="18"/>
  <c r="C67" i="18"/>
  <c r="C69" i="18"/>
  <c r="C72" i="18"/>
  <c r="C21" i="18"/>
  <c r="C15" i="18"/>
  <c r="C32" i="18"/>
  <c r="G36" i="18"/>
  <c r="C40" i="18"/>
  <c r="G19" i="18"/>
  <c r="G27" i="18"/>
  <c r="G32" i="18"/>
  <c r="C37" i="18"/>
  <c r="F37" i="18"/>
  <c r="G38" i="18"/>
  <c r="J38" i="18"/>
  <c r="F48" i="18"/>
  <c r="F50" i="18"/>
  <c r="G17" i="18"/>
  <c r="G25" i="18"/>
  <c r="C28" i="18"/>
  <c r="C33" i="18"/>
  <c r="F49" i="18"/>
  <c r="G16" i="18"/>
  <c r="G26" i="18"/>
  <c r="G39" i="18"/>
  <c r="J39" i="18"/>
  <c r="G15" i="18"/>
  <c r="C18" i="18"/>
  <c r="C26" i="18"/>
  <c r="F26" i="18"/>
  <c r="G29" i="18"/>
  <c r="C39" i="18"/>
  <c r="C68" i="18"/>
  <c r="C70" i="18"/>
  <c r="G33" i="18"/>
  <c r="G18" i="18"/>
  <c r="G28" i="18"/>
  <c r="C38" i="18"/>
  <c r="C16" i="18"/>
  <c r="D39" i="18"/>
  <c r="G20" i="18"/>
  <c r="C31" i="18"/>
  <c r="D19" i="16"/>
  <c r="F19" i="16"/>
  <c r="D18" i="16"/>
  <c r="F18" i="16"/>
  <c r="F35" i="16"/>
  <c r="D21" i="16"/>
  <c r="F21" i="16"/>
  <c r="D17" i="16"/>
  <c r="G28" i="15"/>
  <c r="D21" i="14"/>
  <c r="D18" i="14"/>
  <c r="H18" i="14"/>
  <c r="F15" i="14"/>
  <c r="L15" i="14"/>
  <c r="AE9" i="1"/>
  <c r="D17" i="14"/>
  <c r="H17" i="14"/>
  <c r="J17" i="14"/>
  <c r="F35" i="12"/>
  <c r="F22" i="12"/>
  <c r="F31" i="12"/>
  <c r="F35" i="11"/>
  <c r="G16" i="11"/>
  <c r="G18" i="11"/>
  <c r="G26" i="11"/>
  <c r="G28" i="11"/>
  <c r="C17" i="11"/>
  <c r="C19" i="11"/>
  <c r="G21" i="11"/>
  <c r="C25" i="11"/>
  <c r="F25" i="11"/>
  <c r="C34" i="11"/>
  <c r="C15" i="11"/>
  <c r="G19" i="11"/>
  <c r="G27" i="11"/>
  <c r="C21" i="11"/>
  <c r="G17" i="11"/>
  <c r="G25" i="11"/>
  <c r="G15" i="11"/>
  <c r="C18" i="11"/>
  <c r="G29" i="11"/>
  <c r="G20" i="11"/>
  <c r="E31" i="15"/>
  <c r="F37" i="12"/>
  <c r="F39" i="12"/>
  <c r="F41" i="12"/>
  <c r="F41" i="19"/>
  <c r="D34" i="16"/>
  <c r="D20" i="16"/>
  <c r="F20" i="16"/>
  <c r="D15" i="16"/>
  <c r="F15" i="16"/>
  <c r="AH9" i="1"/>
  <c r="F17" i="14"/>
  <c r="F21" i="14"/>
  <c r="F22" i="14"/>
  <c r="F31" i="14"/>
  <c r="F37" i="14"/>
  <c r="F39" i="14"/>
  <c r="F41" i="14"/>
  <c r="H21" i="14"/>
  <c r="J21" i="14"/>
  <c r="J22" i="14"/>
  <c r="J31" i="14"/>
  <c r="J37" i="14"/>
  <c r="J39" i="14"/>
  <c r="D11" i="13"/>
  <c r="AJ7" i="2"/>
  <c r="F30" i="11"/>
  <c r="B6" i="13"/>
  <c r="D20" i="19"/>
  <c r="F20" i="19"/>
  <c r="D31" i="19"/>
  <c r="F31" i="19"/>
  <c r="D33" i="19"/>
  <c r="F33" i="19"/>
  <c r="D15" i="19"/>
  <c r="F15" i="19"/>
  <c r="D28" i="19"/>
  <c r="F28" i="19"/>
  <c r="D19" i="19"/>
  <c r="D17" i="19"/>
  <c r="F17" i="19"/>
  <c r="D72" i="19"/>
  <c r="D69" i="19"/>
  <c r="F69" i="19"/>
  <c r="D67" i="19"/>
  <c r="F67" i="19"/>
  <c r="D29" i="19"/>
  <c r="F29" i="19"/>
  <c r="D63" i="19"/>
  <c r="F63" i="19"/>
  <c r="F66" i="19"/>
  <c r="D21" i="19"/>
  <c r="D68" i="19"/>
  <c r="F68" i="19"/>
  <c r="D16" i="19"/>
  <c r="D70" i="19"/>
  <c r="F70" i="19"/>
  <c r="D18" i="19"/>
  <c r="F18" i="19"/>
  <c r="J72" i="19"/>
  <c r="J73" i="19"/>
  <c r="J57" i="19"/>
  <c r="J59" i="19"/>
  <c r="J60" i="19"/>
  <c r="J75" i="19"/>
  <c r="J77" i="19"/>
  <c r="F54" i="19"/>
  <c r="F55" i="19"/>
  <c r="D20" i="18"/>
  <c r="F20" i="18"/>
  <c r="D63" i="18"/>
  <c r="F63" i="18"/>
  <c r="F66" i="18"/>
  <c r="D21" i="18"/>
  <c r="D29" i="18"/>
  <c r="F29" i="18"/>
  <c r="D68" i="18"/>
  <c r="F68" i="18"/>
  <c r="D33" i="18"/>
  <c r="F33" i="18"/>
  <c r="D28" i="18"/>
  <c r="F28" i="18"/>
  <c r="D15" i="18"/>
  <c r="F15" i="18"/>
  <c r="B3" i="20"/>
  <c r="AL9" i="1"/>
  <c r="D19" i="18"/>
  <c r="D72" i="18"/>
  <c r="D17" i="18"/>
  <c r="F17" i="18"/>
  <c r="D69" i="18"/>
  <c r="F69" i="18"/>
  <c r="D16" i="18"/>
  <c r="D18" i="18"/>
  <c r="F18" i="18"/>
  <c r="F70" i="18"/>
  <c r="D67" i="18"/>
  <c r="F67" i="18"/>
  <c r="D31" i="18"/>
  <c r="F31" i="18"/>
  <c r="J56" i="18"/>
  <c r="J57" i="18"/>
  <c r="J59" i="18"/>
  <c r="J60" i="18"/>
  <c r="F39" i="18"/>
  <c r="D40" i="18"/>
  <c r="F40" i="18"/>
  <c r="F53" i="18"/>
  <c r="D38" i="18"/>
  <c r="F38" i="18"/>
  <c r="J72" i="18"/>
  <c r="J73" i="18"/>
  <c r="F22" i="16"/>
  <c r="F31" i="16"/>
  <c r="F37" i="16"/>
  <c r="F39" i="16"/>
  <c r="F41" i="16"/>
  <c r="D18" i="11"/>
  <c r="F18" i="11"/>
  <c r="D20" i="11"/>
  <c r="F20" i="11"/>
  <c r="D15" i="11"/>
  <c r="F15" i="11"/>
  <c r="B3" i="13"/>
  <c r="D34" i="11"/>
  <c r="D19" i="11"/>
  <c r="D17" i="11"/>
  <c r="F17" i="11"/>
  <c r="B4" i="13"/>
  <c r="D21" i="11"/>
  <c r="F21" i="11"/>
  <c r="D3" i="13"/>
  <c r="AJ9" i="1"/>
  <c r="B4" i="20"/>
  <c r="AL10" i="1"/>
  <c r="D6" i="13"/>
  <c r="AJ19" i="1"/>
  <c r="D4" i="13"/>
  <c r="AJ10" i="1"/>
  <c r="F34" i="19"/>
  <c r="F56" i="19"/>
  <c r="F57" i="19"/>
  <c r="F59" i="19"/>
  <c r="F73" i="19"/>
  <c r="F22" i="19"/>
  <c r="F73" i="18"/>
  <c r="F34" i="18"/>
  <c r="F41" i="18"/>
  <c r="J75" i="18"/>
  <c r="J77" i="18"/>
  <c r="F22" i="18"/>
  <c r="F54" i="18"/>
  <c r="F55" i="18"/>
  <c r="F22" i="11"/>
  <c r="F31" i="11"/>
  <c r="F37" i="11"/>
  <c r="F60" i="19"/>
  <c r="F75" i="19"/>
  <c r="F77" i="19"/>
  <c r="F79" i="19"/>
  <c r="F56" i="18"/>
  <c r="F57" i="18"/>
  <c r="F39" i="11"/>
  <c r="F59" i="18"/>
  <c r="B14" i="20"/>
  <c r="AL40" i="1"/>
  <c r="F60" i="18"/>
  <c r="F75" i="18"/>
  <c r="F77" i="18"/>
  <c r="F79" i="18"/>
  <c r="F41" i="11"/>
  <c r="AA7" i="1"/>
  <c r="Z7" i="1"/>
  <c r="K9" i="1"/>
  <c r="D7" i="1"/>
  <c r="K7" i="2"/>
  <c r="K19" i="1"/>
  <c r="H32" i="1"/>
  <c r="H9" i="1"/>
  <c r="F9" i="1"/>
  <c r="P28" i="7"/>
  <c r="AN54" i="7"/>
  <c r="AM54" i="7"/>
  <c r="AL54" i="7"/>
  <c r="AK54" i="7"/>
  <c r="AJ54" i="7"/>
  <c r="AI54" i="7"/>
  <c r="AN52" i="7"/>
  <c r="AM52" i="7"/>
  <c r="AL52" i="7"/>
  <c r="AK52" i="7"/>
  <c r="AJ52" i="7"/>
  <c r="AI52" i="7"/>
  <c r="AN43" i="7"/>
  <c r="AM43" i="7"/>
  <c r="AL43" i="7"/>
  <c r="AK43" i="7"/>
  <c r="AJ43" i="7"/>
  <c r="AI43" i="7"/>
  <c r="AN17" i="7"/>
  <c r="AM17" i="7"/>
  <c r="AL17" i="7"/>
  <c r="AK17" i="7"/>
  <c r="AJ17" i="7"/>
  <c r="AI17" i="7"/>
  <c r="AN5" i="7"/>
  <c r="AM5" i="7"/>
  <c r="AL5" i="7"/>
  <c r="AK5" i="7"/>
  <c r="AJ5" i="7"/>
  <c r="AI5" i="7"/>
  <c r="AN3" i="7"/>
  <c r="AM3" i="7"/>
  <c r="AL3" i="7"/>
  <c r="AK3" i="7"/>
  <c r="AJ3" i="7"/>
  <c r="AI3" i="7"/>
  <c r="S73" i="7"/>
  <c r="R73" i="7"/>
  <c r="Q73" i="7"/>
  <c r="P73" i="7"/>
  <c r="O73" i="7"/>
  <c r="N73" i="7"/>
  <c r="S58" i="7"/>
  <c r="R58" i="7"/>
  <c r="Q58" i="7"/>
  <c r="P58" i="7"/>
  <c r="O58" i="7"/>
  <c r="N58" i="7"/>
  <c r="S54" i="7"/>
  <c r="R54" i="7"/>
  <c r="Q54" i="7"/>
  <c r="P54" i="7"/>
  <c r="O54" i="7"/>
  <c r="N54" i="7"/>
  <c r="S52" i="7"/>
  <c r="R52" i="7"/>
  <c r="Q52" i="7"/>
  <c r="P52" i="7"/>
  <c r="O52" i="7"/>
  <c r="N52" i="7"/>
  <c r="S43" i="7"/>
  <c r="R43" i="7"/>
  <c r="Q43" i="7"/>
  <c r="P43" i="7"/>
  <c r="O43" i="7"/>
  <c r="N43" i="7"/>
  <c r="S39" i="7"/>
  <c r="R39" i="7"/>
  <c r="Q39" i="7"/>
  <c r="P39" i="7"/>
  <c r="O39" i="7"/>
  <c r="N39" i="7"/>
  <c r="S37" i="7"/>
  <c r="R37" i="7"/>
  <c r="Q37" i="7"/>
  <c r="P37" i="7"/>
  <c r="O37" i="7"/>
  <c r="N37" i="7"/>
  <c r="S28" i="7"/>
  <c r="R28" i="7"/>
  <c r="Q28" i="7"/>
  <c r="O28" i="7"/>
  <c r="N28" i="7"/>
  <c r="S17" i="7"/>
  <c r="R17" i="7"/>
  <c r="Q17" i="7"/>
  <c r="P17" i="7"/>
  <c r="O17" i="7"/>
  <c r="N17" i="7"/>
  <c r="S5" i="7"/>
  <c r="R5" i="7"/>
  <c r="Q5" i="7"/>
  <c r="P5" i="7"/>
  <c r="O5" i="7"/>
  <c r="N5" i="7"/>
  <c r="N65" i="7"/>
  <c r="N67" i="7"/>
  <c r="S67" i="7"/>
  <c r="AN61" i="7"/>
  <c r="S65" i="7"/>
  <c r="S69" i="7"/>
  <c r="R67" i="7"/>
  <c r="AM61" i="7"/>
  <c r="R65" i="7"/>
  <c r="Q67" i="7"/>
  <c r="AL61" i="7"/>
  <c r="Q65" i="7"/>
  <c r="P67" i="7"/>
  <c r="AK61" i="7"/>
  <c r="P65" i="7"/>
  <c r="AJ61" i="7"/>
  <c r="O67" i="7"/>
  <c r="N69" i="7"/>
  <c r="O65" i="7"/>
  <c r="AI61" i="7"/>
  <c r="P61" i="7"/>
  <c r="N61" i="7"/>
  <c r="Q61" i="7"/>
  <c r="Q63" i="7"/>
  <c r="O61" i="7"/>
  <c r="S61" i="7"/>
  <c r="S63" i="7"/>
  <c r="R61" i="7"/>
  <c r="AR3" i="6"/>
  <c r="AQ3" i="6"/>
  <c r="AP3" i="6"/>
  <c r="AO3" i="6"/>
  <c r="AN3" i="6"/>
  <c r="AM3" i="6"/>
  <c r="AL3" i="6"/>
  <c r="AK3" i="6"/>
  <c r="AP54" i="6"/>
  <c r="AO54" i="6"/>
  <c r="AN54" i="6"/>
  <c r="AM54" i="6"/>
  <c r="AL54" i="6"/>
  <c r="AK54" i="6"/>
  <c r="AP52" i="6"/>
  <c r="AO52" i="6"/>
  <c r="AN52" i="6"/>
  <c r="AM52" i="6"/>
  <c r="AL52" i="6"/>
  <c r="AK52" i="6"/>
  <c r="AP43" i="6"/>
  <c r="AO43" i="6"/>
  <c r="AN43" i="6"/>
  <c r="AM43" i="6"/>
  <c r="AL43" i="6"/>
  <c r="AK43" i="6"/>
  <c r="AP17" i="6"/>
  <c r="AO17" i="6"/>
  <c r="AN17" i="6"/>
  <c r="AM17" i="6"/>
  <c r="AL17" i="6"/>
  <c r="AK17" i="6"/>
  <c r="AP5" i="6"/>
  <c r="AO5" i="6"/>
  <c r="AN5" i="6"/>
  <c r="AM5" i="6"/>
  <c r="AL5" i="6"/>
  <c r="AK5" i="6"/>
  <c r="U73" i="6"/>
  <c r="T73" i="6"/>
  <c r="S73" i="6"/>
  <c r="R73" i="6"/>
  <c r="Q73" i="6"/>
  <c r="P73" i="6"/>
  <c r="O73" i="6"/>
  <c r="N73" i="6"/>
  <c r="U58" i="6"/>
  <c r="T58" i="6"/>
  <c r="S58" i="6"/>
  <c r="R58" i="6"/>
  <c r="Q58" i="6"/>
  <c r="P58" i="6"/>
  <c r="O58" i="6"/>
  <c r="N58" i="6"/>
  <c r="U54" i="6"/>
  <c r="T54" i="6"/>
  <c r="S54" i="6"/>
  <c r="R54" i="6"/>
  <c r="Q54" i="6"/>
  <c r="P54" i="6"/>
  <c r="O54" i="6"/>
  <c r="N54" i="6"/>
  <c r="U52" i="6"/>
  <c r="T52" i="6"/>
  <c r="S52" i="6"/>
  <c r="R52" i="6"/>
  <c r="Q52" i="6"/>
  <c r="P52" i="6"/>
  <c r="O52" i="6"/>
  <c r="N52" i="6"/>
  <c r="U43" i="6"/>
  <c r="T43" i="6"/>
  <c r="S43" i="6"/>
  <c r="R43" i="6"/>
  <c r="Q43" i="6"/>
  <c r="P43" i="6"/>
  <c r="O43" i="6"/>
  <c r="N43" i="6"/>
  <c r="U39" i="6"/>
  <c r="T39" i="6"/>
  <c r="S39" i="6"/>
  <c r="R39" i="6"/>
  <c r="Q39" i="6"/>
  <c r="P39" i="6"/>
  <c r="O39" i="6"/>
  <c r="N39" i="6"/>
  <c r="U37" i="6"/>
  <c r="T37" i="6"/>
  <c r="S37" i="6"/>
  <c r="R37" i="6"/>
  <c r="Q37" i="6"/>
  <c r="P37" i="6"/>
  <c r="O37" i="6"/>
  <c r="N37" i="6"/>
  <c r="U28" i="6"/>
  <c r="T28" i="6"/>
  <c r="S28" i="6"/>
  <c r="R28" i="6"/>
  <c r="Q28" i="6"/>
  <c r="P28" i="6"/>
  <c r="O28" i="6"/>
  <c r="N28" i="6"/>
  <c r="U17" i="6"/>
  <c r="T17" i="6"/>
  <c r="S17" i="6"/>
  <c r="R17" i="6"/>
  <c r="Q17" i="6"/>
  <c r="P17" i="6"/>
  <c r="O17" i="6"/>
  <c r="N17" i="6"/>
  <c r="U5" i="6"/>
  <c r="T5" i="6"/>
  <c r="S5" i="6"/>
  <c r="R5" i="6"/>
  <c r="Q5" i="6"/>
  <c r="P5" i="6"/>
  <c r="P65" i="6"/>
  <c r="O5" i="6"/>
  <c r="N5" i="6"/>
  <c r="U65" i="6"/>
  <c r="R63" i="7"/>
  <c r="Q69" i="7"/>
  <c r="R69" i="7"/>
  <c r="O63" i="7"/>
  <c r="P69" i="7"/>
  <c r="P63" i="7"/>
  <c r="O69" i="7"/>
  <c r="N63" i="7"/>
  <c r="T65" i="6"/>
  <c r="S65" i="6"/>
  <c r="AP61" i="6"/>
  <c r="R65" i="6"/>
  <c r="AO61" i="6"/>
  <c r="AN61" i="6"/>
  <c r="Q65" i="6"/>
  <c r="AM61" i="6"/>
  <c r="AL61" i="6"/>
  <c r="AK61" i="6"/>
  <c r="N65" i="6"/>
  <c r="O65" i="6"/>
  <c r="N61" i="6"/>
  <c r="O61" i="6"/>
  <c r="S61" i="6"/>
  <c r="S63" i="6"/>
  <c r="R61" i="6"/>
  <c r="P61" i="6"/>
  <c r="T61" i="6"/>
  <c r="Q61" i="6"/>
  <c r="U61" i="6"/>
  <c r="O63" i="6"/>
  <c r="R63" i="6"/>
  <c r="N63" i="6"/>
  <c r="Q63" i="6"/>
  <c r="P63" i="6"/>
  <c r="AC54" i="6"/>
  <c r="AB54" i="6"/>
  <c r="AC52" i="6"/>
  <c r="AB52" i="6"/>
  <c r="AC43" i="6"/>
  <c r="AB43" i="6"/>
  <c r="AC17" i="6"/>
  <c r="AB17" i="6"/>
  <c r="AC5" i="6"/>
  <c r="AB5" i="6"/>
  <c r="F58" i="6"/>
  <c r="E58" i="6"/>
  <c r="F54" i="6"/>
  <c r="E54" i="6"/>
  <c r="F52" i="6"/>
  <c r="E52" i="6"/>
  <c r="F43" i="6"/>
  <c r="E43" i="6"/>
  <c r="F39" i="6"/>
  <c r="E39" i="6"/>
  <c r="F37" i="6"/>
  <c r="E37" i="6"/>
  <c r="F28" i="6"/>
  <c r="E28" i="6"/>
  <c r="F17" i="6"/>
  <c r="E17" i="6"/>
  <c r="F5" i="6"/>
  <c r="E5" i="6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R42" i="2"/>
  <c r="J42" i="2"/>
  <c r="F42" i="2"/>
  <c r="N42" i="2"/>
  <c r="V42" i="2"/>
  <c r="N67" i="6"/>
  <c r="N69" i="6"/>
  <c r="N71" i="6"/>
  <c r="O67" i="6"/>
  <c r="O69" i="6"/>
  <c r="O71" i="6"/>
  <c r="E61" i="6"/>
  <c r="F61" i="6"/>
  <c r="C42" i="2"/>
  <c r="G42" i="2"/>
  <c r="K42" i="2"/>
  <c r="O42" i="2"/>
  <c r="S42" i="2"/>
  <c r="W42" i="2"/>
  <c r="E42" i="2"/>
  <c r="I42" i="2"/>
  <c r="M42" i="2"/>
  <c r="Q42" i="2"/>
  <c r="U42" i="2"/>
  <c r="AB61" i="6"/>
  <c r="D42" i="2"/>
  <c r="H42" i="2"/>
  <c r="L42" i="2"/>
  <c r="P42" i="2"/>
  <c r="T42" i="2"/>
  <c r="X42" i="2"/>
  <c r="AC61" i="6"/>
  <c r="E61" i="1"/>
  <c r="M61" i="1"/>
  <c r="U61" i="1"/>
  <c r="G61" i="1"/>
  <c r="O61" i="1"/>
  <c r="W61" i="1"/>
  <c r="J61" i="1"/>
  <c r="V61" i="1"/>
  <c r="I61" i="1"/>
  <c r="Q61" i="1"/>
  <c r="C61" i="1"/>
  <c r="K61" i="1"/>
  <c r="S61" i="1"/>
  <c r="F61" i="1"/>
  <c r="N61" i="1"/>
  <c r="R61" i="1"/>
  <c r="D61" i="1"/>
  <c r="H61" i="1"/>
  <c r="L61" i="1"/>
  <c r="P61" i="1"/>
  <c r="T61" i="1"/>
  <c r="X61" i="1"/>
  <c r="I64" i="5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Y49" i="7"/>
  <c r="X49" i="7"/>
  <c r="Y50" i="7"/>
  <c r="X50" i="7"/>
  <c r="D67" i="5"/>
  <c r="I67" i="5"/>
  <c r="Y60" i="7"/>
  <c r="U73" i="7"/>
  <c r="T73" i="7"/>
  <c r="M73" i="7"/>
  <c r="L73" i="7"/>
  <c r="K73" i="7"/>
  <c r="J73" i="7"/>
  <c r="I73" i="7"/>
  <c r="H73" i="7"/>
  <c r="G73" i="7"/>
  <c r="F73" i="7"/>
  <c r="E73" i="7"/>
  <c r="U58" i="7"/>
  <c r="T58" i="7"/>
  <c r="M58" i="7"/>
  <c r="L58" i="7"/>
  <c r="K58" i="7"/>
  <c r="J58" i="7"/>
  <c r="I58" i="7"/>
  <c r="H58" i="7"/>
  <c r="G58" i="7"/>
  <c r="F58" i="7"/>
  <c r="E58" i="7"/>
  <c r="AP54" i="7"/>
  <c r="AO54" i="7"/>
  <c r="AH54" i="7"/>
  <c r="AG54" i="7"/>
  <c r="AF54" i="7"/>
  <c r="AE54" i="7"/>
  <c r="AD54" i="7"/>
  <c r="AC54" i="7"/>
  <c r="AB54" i="7"/>
  <c r="AA54" i="7"/>
  <c r="Z54" i="7"/>
  <c r="U54" i="7"/>
  <c r="T54" i="7"/>
  <c r="M54" i="7"/>
  <c r="L54" i="7"/>
  <c r="K54" i="7"/>
  <c r="J54" i="7"/>
  <c r="I54" i="7"/>
  <c r="H54" i="7"/>
  <c r="G54" i="7"/>
  <c r="F54" i="7"/>
  <c r="E54" i="7"/>
  <c r="AP52" i="7"/>
  <c r="AO52" i="7"/>
  <c r="AH52" i="7"/>
  <c r="AG52" i="7"/>
  <c r="AF52" i="7"/>
  <c r="AE52" i="7"/>
  <c r="AD52" i="7"/>
  <c r="AC52" i="7"/>
  <c r="AB52" i="7"/>
  <c r="AA52" i="7"/>
  <c r="Z52" i="7"/>
  <c r="U52" i="7"/>
  <c r="T52" i="7"/>
  <c r="M52" i="7"/>
  <c r="L52" i="7"/>
  <c r="K52" i="7"/>
  <c r="J52" i="7"/>
  <c r="I52" i="7"/>
  <c r="H52" i="7"/>
  <c r="G52" i="7"/>
  <c r="F52" i="7"/>
  <c r="E52" i="7"/>
  <c r="X51" i="7"/>
  <c r="AP43" i="7"/>
  <c r="AO43" i="7"/>
  <c r="AH43" i="7"/>
  <c r="AG43" i="7"/>
  <c r="AF43" i="7"/>
  <c r="AE43" i="7"/>
  <c r="AD43" i="7"/>
  <c r="AC43" i="7"/>
  <c r="AB43" i="7"/>
  <c r="AA43" i="7"/>
  <c r="Z43" i="7"/>
  <c r="U43" i="7"/>
  <c r="T43" i="7"/>
  <c r="M43" i="7"/>
  <c r="L43" i="7"/>
  <c r="K43" i="7"/>
  <c r="J43" i="7"/>
  <c r="I43" i="7"/>
  <c r="H43" i="7"/>
  <c r="G43" i="7"/>
  <c r="F43" i="7"/>
  <c r="E43" i="7"/>
  <c r="X42" i="7"/>
  <c r="X41" i="7"/>
  <c r="X40" i="7"/>
  <c r="X39" i="7"/>
  <c r="U39" i="7"/>
  <c r="T39" i="7"/>
  <c r="M39" i="7"/>
  <c r="L39" i="7"/>
  <c r="K39" i="7"/>
  <c r="J39" i="7"/>
  <c r="I39" i="7"/>
  <c r="H39" i="7"/>
  <c r="G39" i="7"/>
  <c r="F39" i="7"/>
  <c r="E39" i="7"/>
  <c r="X38" i="7"/>
  <c r="X37" i="7"/>
  <c r="U37" i="7"/>
  <c r="T37" i="7"/>
  <c r="M37" i="7"/>
  <c r="L37" i="7"/>
  <c r="K37" i="7"/>
  <c r="J37" i="7"/>
  <c r="I37" i="7"/>
  <c r="H37" i="7"/>
  <c r="G37" i="7"/>
  <c r="F37" i="7"/>
  <c r="E37" i="7"/>
  <c r="X36" i="7"/>
  <c r="X35" i="7"/>
  <c r="X34" i="7"/>
  <c r="X33" i="7"/>
  <c r="X32" i="7"/>
  <c r="X31" i="7"/>
  <c r="X30" i="7"/>
  <c r="X29" i="7"/>
  <c r="X28" i="7"/>
  <c r="U28" i="7"/>
  <c r="T28" i="7"/>
  <c r="M28" i="7"/>
  <c r="L28" i="7"/>
  <c r="K28" i="7"/>
  <c r="J28" i="7"/>
  <c r="I28" i="7"/>
  <c r="H28" i="7"/>
  <c r="G28" i="7"/>
  <c r="F28" i="7"/>
  <c r="E28" i="7"/>
  <c r="X27" i="7"/>
  <c r="AP17" i="7"/>
  <c r="AO17" i="7"/>
  <c r="AH17" i="7"/>
  <c r="AG17" i="7"/>
  <c r="AF17" i="7"/>
  <c r="AE17" i="7"/>
  <c r="AD17" i="7"/>
  <c r="AC17" i="7"/>
  <c r="AB17" i="7"/>
  <c r="AA17" i="7"/>
  <c r="Z17" i="7"/>
  <c r="U17" i="7"/>
  <c r="T17" i="7"/>
  <c r="M17" i="7"/>
  <c r="L17" i="7"/>
  <c r="K17" i="7"/>
  <c r="J17" i="7"/>
  <c r="I17" i="7"/>
  <c r="H17" i="7"/>
  <c r="G17" i="7"/>
  <c r="F17" i="7"/>
  <c r="E17" i="7"/>
  <c r="X16" i="7"/>
  <c r="X15" i="7"/>
  <c r="AP5" i="7"/>
  <c r="AO5" i="7"/>
  <c r="AH5" i="7"/>
  <c r="AG5" i="7"/>
  <c r="AF5" i="7"/>
  <c r="AE5" i="7"/>
  <c r="P71" i="7"/>
  <c r="AD5" i="7"/>
  <c r="AC5" i="7"/>
  <c r="AB5" i="7"/>
  <c r="AA5" i="7"/>
  <c r="Z5" i="7"/>
  <c r="U5" i="7"/>
  <c r="T5" i="7"/>
  <c r="M5" i="7"/>
  <c r="L5" i="7"/>
  <c r="K5" i="7"/>
  <c r="J5" i="7"/>
  <c r="I5" i="7"/>
  <c r="H5" i="7"/>
  <c r="G5" i="7"/>
  <c r="F5" i="7"/>
  <c r="E5" i="7"/>
  <c r="AP3" i="7"/>
  <c r="AO3" i="7"/>
  <c r="AH3" i="7"/>
  <c r="AG3" i="7"/>
  <c r="AF3" i="7"/>
  <c r="AE3" i="7"/>
  <c r="AD3" i="7"/>
  <c r="AC3" i="7"/>
  <c r="AB3" i="7"/>
  <c r="AA3" i="7"/>
  <c r="Z3" i="7"/>
  <c r="Y3" i="7"/>
  <c r="AU58" i="1"/>
  <c r="AT58" i="1"/>
  <c r="AS58" i="1"/>
  <c r="AR58" i="1"/>
  <c r="AU54" i="1"/>
  <c r="AT54" i="1"/>
  <c r="AS54" i="1"/>
  <c r="AR54" i="1"/>
  <c r="AU52" i="1"/>
  <c r="AT52" i="1"/>
  <c r="AS52" i="1"/>
  <c r="AR52" i="1"/>
  <c r="AU43" i="1"/>
  <c r="AT43" i="1"/>
  <c r="AS43" i="1"/>
  <c r="AR43" i="1"/>
  <c r="AU39" i="1"/>
  <c r="AT39" i="1"/>
  <c r="AS39" i="1"/>
  <c r="AR39" i="1"/>
  <c r="AU37" i="1"/>
  <c r="AT37" i="1"/>
  <c r="AS37" i="1"/>
  <c r="AR37" i="1"/>
  <c r="AU28" i="1"/>
  <c r="AT28" i="1"/>
  <c r="AS28" i="1"/>
  <c r="AR28" i="1"/>
  <c r="AU17" i="1"/>
  <c r="AT17" i="1"/>
  <c r="AS17" i="1"/>
  <c r="AR17" i="1"/>
  <c r="AU5" i="1"/>
  <c r="AT5" i="1"/>
  <c r="AS5" i="1"/>
  <c r="AR5" i="1"/>
  <c r="C4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L67" i="7"/>
  <c r="R71" i="7"/>
  <c r="Q71" i="7"/>
  <c r="H67" i="7"/>
  <c r="N71" i="7"/>
  <c r="O71" i="7"/>
  <c r="S71" i="7"/>
  <c r="E65" i="7"/>
  <c r="M65" i="7"/>
  <c r="F67" i="7"/>
  <c r="T67" i="7"/>
  <c r="G65" i="7"/>
  <c r="G67" i="7"/>
  <c r="G69" i="7"/>
  <c r="K65" i="7"/>
  <c r="Z42" i="2"/>
  <c r="AH42" i="2"/>
  <c r="H16" i="4"/>
  <c r="AL42" i="2"/>
  <c r="H22" i="4"/>
  <c r="AP42" i="2"/>
  <c r="H28" i="4"/>
  <c r="AT42" i="2"/>
  <c r="H34" i="4"/>
  <c r="K67" i="7"/>
  <c r="U67" i="7"/>
  <c r="I65" i="7"/>
  <c r="J67" i="7"/>
  <c r="U65" i="7"/>
  <c r="AD42" i="2"/>
  <c r="AB42" i="2"/>
  <c r="AF42" i="2"/>
  <c r="H14" i="4"/>
  <c r="AN42" i="2"/>
  <c r="H24" i="4"/>
  <c r="H65" i="7"/>
  <c r="L65" i="7"/>
  <c r="L69" i="7"/>
  <c r="L71" i="7"/>
  <c r="F65" i="7"/>
  <c r="F69" i="7"/>
  <c r="F71" i="7"/>
  <c r="J65" i="7"/>
  <c r="T65" i="7"/>
  <c r="E67" i="7"/>
  <c r="I67" i="7"/>
  <c r="M67" i="7"/>
  <c r="AB61" i="7"/>
  <c r="AF61" i="7"/>
  <c r="AP61" i="7"/>
  <c r="E61" i="7"/>
  <c r="I61" i="7"/>
  <c r="M61" i="7"/>
  <c r="F61" i="7"/>
  <c r="J61" i="7"/>
  <c r="T61" i="7"/>
  <c r="G61" i="7"/>
  <c r="K61" i="7"/>
  <c r="U61" i="7"/>
  <c r="AJ42" i="2"/>
  <c r="H20" i="4"/>
  <c r="AR42" i="2"/>
  <c r="H32" i="4"/>
  <c r="AC61" i="7"/>
  <c r="AG61" i="7"/>
  <c r="AA61" i="7"/>
  <c r="AE61" i="7"/>
  <c r="AO61" i="7"/>
  <c r="H61" i="7"/>
  <c r="L61" i="7"/>
  <c r="Z61" i="7"/>
  <c r="AH61" i="7"/>
  <c r="AD61" i="7"/>
  <c r="AC42" i="2"/>
  <c r="AG42" i="2"/>
  <c r="H15" i="4"/>
  <c r="AK42" i="2"/>
  <c r="H21" i="4"/>
  <c r="AO42" i="2"/>
  <c r="H25" i="4"/>
  <c r="AS42" i="2"/>
  <c r="H33" i="4"/>
  <c r="AA42" i="2"/>
  <c r="AE42" i="2"/>
  <c r="H13" i="4"/>
  <c r="AI42" i="2"/>
  <c r="H17" i="4"/>
  <c r="AM42" i="2"/>
  <c r="H23" i="4"/>
  <c r="AQ42" i="2"/>
  <c r="H29" i="4"/>
  <c r="AU42" i="2"/>
  <c r="H35" i="4"/>
  <c r="Z61" i="1"/>
  <c r="AD61" i="1"/>
  <c r="AH61" i="1"/>
  <c r="G16" i="4"/>
  <c r="AL61" i="1"/>
  <c r="G22" i="4"/>
  <c r="AP61" i="1"/>
  <c r="G28" i="4"/>
  <c r="AT61" i="1"/>
  <c r="G34" i="4"/>
  <c r="AA61" i="1"/>
  <c r="AE61" i="1"/>
  <c r="G13" i="4"/>
  <c r="AI61" i="1"/>
  <c r="G17" i="4"/>
  <c r="AM61" i="1"/>
  <c r="G23" i="4"/>
  <c r="AQ61" i="1"/>
  <c r="G29" i="4"/>
  <c r="AU61" i="1"/>
  <c r="G35" i="4"/>
  <c r="AB61" i="1"/>
  <c r="AJ61" i="1"/>
  <c r="G20" i="4"/>
  <c r="AR61" i="1"/>
  <c r="G32" i="4"/>
  <c r="AC61" i="1"/>
  <c r="AG61" i="1"/>
  <c r="G15" i="4"/>
  <c r="AK61" i="1"/>
  <c r="G21" i="4"/>
  <c r="AO61" i="1"/>
  <c r="G25" i="4"/>
  <c r="AF61" i="1"/>
  <c r="G14" i="4"/>
  <c r="AN61" i="1"/>
  <c r="G24" i="4"/>
  <c r="I24" i="4"/>
  <c r="AS61" i="1"/>
  <c r="G33" i="4"/>
  <c r="W73" i="6"/>
  <c r="V73" i="6"/>
  <c r="M73" i="6"/>
  <c r="L73" i="6"/>
  <c r="K73" i="6"/>
  <c r="J73" i="6"/>
  <c r="I73" i="6"/>
  <c r="H73" i="6"/>
  <c r="G73" i="6"/>
  <c r="F73" i="6"/>
  <c r="E73" i="6"/>
  <c r="W58" i="6"/>
  <c r="V58" i="6"/>
  <c r="M58" i="6"/>
  <c r="L58" i="6"/>
  <c r="K58" i="6"/>
  <c r="J58" i="6"/>
  <c r="I58" i="6"/>
  <c r="H58" i="6"/>
  <c r="G58" i="6"/>
  <c r="AR54" i="6"/>
  <c r="AQ54" i="6"/>
  <c r="AJ54" i="6"/>
  <c r="AI54" i="6"/>
  <c r="AH54" i="6"/>
  <c r="AG54" i="6"/>
  <c r="AF54" i="6"/>
  <c r="AE54" i="6"/>
  <c r="AD54" i="6"/>
  <c r="W54" i="6"/>
  <c r="V54" i="6"/>
  <c r="M54" i="6"/>
  <c r="L54" i="6"/>
  <c r="K54" i="6"/>
  <c r="J54" i="6"/>
  <c r="I54" i="6"/>
  <c r="H54" i="6"/>
  <c r="G54" i="6"/>
  <c r="AR52" i="6"/>
  <c r="AQ52" i="6"/>
  <c r="AJ52" i="6"/>
  <c r="AI52" i="6"/>
  <c r="AH52" i="6"/>
  <c r="AG52" i="6"/>
  <c r="AF52" i="6"/>
  <c r="AE52" i="6"/>
  <c r="AD52" i="6"/>
  <c r="W52" i="6"/>
  <c r="V52" i="6"/>
  <c r="M52" i="6"/>
  <c r="L52" i="6"/>
  <c r="K52" i="6"/>
  <c r="J52" i="6"/>
  <c r="I52" i="6"/>
  <c r="H52" i="6"/>
  <c r="G52" i="6"/>
  <c r="Z51" i="6"/>
  <c r="AR43" i="6"/>
  <c r="AQ43" i="6"/>
  <c r="AJ43" i="6"/>
  <c r="AI43" i="6"/>
  <c r="AH43" i="6"/>
  <c r="AG43" i="6"/>
  <c r="AF43" i="6"/>
  <c r="AE43" i="6"/>
  <c r="AD43" i="6"/>
  <c r="W43" i="6"/>
  <c r="V43" i="6"/>
  <c r="M43" i="6"/>
  <c r="L43" i="6"/>
  <c r="K43" i="6"/>
  <c r="J43" i="6"/>
  <c r="I43" i="6"/>
  <c r="H43" i="6"/>
  <c r="G43" i="6"/>
  <c r="Z42" i="6"/>
  <c r="Z41" i="6"/>
  <c r="Z40" i="6"/>
  <c r="Z39" i="6"/>
  <c r="W39" i="6"/>
  <c r="V39" i="6"/>
  <c r="M39" i="6"/>
  <c r="L39" i="6"/>
  <c r="K39" i="6"/>
  <c r="J39" i="6"/>
  <c r="I39" i="6"/>
  <c r="H39" i="6"/>
  <c r="G39" i="6"/>
  <c r="Z38" i="6"/>
  <c r="Z37" i="6"/>
  <c r="W37" i="6"/>
  <c r="V37" i="6"/>
  <c r="M37" i="6"/>
  <c r="L37" i="6"/>
  <c r="K37" i="6"/>
  <c r="J37" i="6"/>
  <c r="I37" i="6"/>
  <c r="H37" i="6"/>
  <c r="G37" i="6"/>
  <c r="Z36" i="6"/>
  <c r="Z35" i="6"/>
  <c r="Z34" i="6"/>
  <c r="Z33" i="6"/>
  <c r="Z32" i="6"/>
  <c r="Z31" i="6"/>
  <c r="Z30" i="6"/>
  <c r="Z29" i="6"/>
  <c r="Z28" i="6"/>
  <c r="W28" i="6"/>
  <c r="V28" i="6"/>
  <c r="M28" i="6"/>
  <c r="L28" i="6"/>
  <c r="K28" i="6"/>
  <c r="J28" i="6"/>
  <c r="I28" i="6"/>
  <c r="H28" i="6"/>
  <c r="G28" i="6"/>
  <c r="Z27" i="6"/>
  <c r="AR17" i="6"/>
  <c r="AQ17" i="6"/>
  <c r="AJ17" i="6"/>
  <c r="AI17" i="6"/>
  <c r="AH17" i="6"/>
  <c r="AG17" i="6"/>
  <c r="AF17" i="6"/>
  <c r="AE17" i="6"/>
  <c r="AD17" i="6"/>
  <c r="W17" i="6"/>
  <c r="V17" i="6"/>
  <c r="M17" i="6"/>
  <c r="L17" i="6"/>
  <c r="K17" i="6"/>
  <c r="J17" i="6"/>
  <c r="I17" i="6"/>
  <c r="H17" i="6"/>
  <c r="G17" i="6"/>
  <c r="Z16" i="6"/>
  <c r="Z15" i="6"/>
  <c r="AR5" i="6"/>
  <c r="AQ5" i="6"/>
  <c r="AJ5" i="6"/>
  <c r="AI5" i="6"/>
  <c r="AH5" i="6"/>
  <c r="AG5" i="6"/>
  <c r="AF5" i="6"/>
  <c r="AE5" i="6"/>
  <c r="AD5" i="6"/>
  <c r="F67" i="6"/>
  <c r="W5" i="6"/>
  <c r="V5" i="6"/>
  <c r="M5" i="6"/>
  <c r="L5" i="6"/>
  <c r="K5" i="6"/>
  <c r="J5" i="6"/>
  <c r="I5" i="6"/>
  <c r="H5" i="6"/>
  <c r="G5" i="6"/>
  <c r="E65" i="6"/>
  <c r="AJ3" i="6"/>
  <c r="AI3" i="6"/>
  <c r="AH3" i="6"/>
  <c r="AG3" i="6"/>
  <c r="AF3" i="6"/>
  <c r="AE3" i="6"/>
  <c r="AD3" i="6"/>
  <c r="AC3" i="6"/>
  <c r="AB3" i="6"/>
  <c r="AA3" i="6"/>
  <c r="H67" i="5"/>
  <c r="C67" i="5"/>
  <c r="H64" i="5"/>
  <c r="D60" i="6"/>
  <c r="C60" i="6"/>
  <c r="AA59" i="6"/>
  <c r="Z59" i="6"/>
  <c r="D59" i="6"/>
  <c r="AA58" i="6"/>
  <c r="Z58" i="6"/>
  <c r="AA57" i="6"/>
  <c r="Z57" i="6"/>
  <c r="D57" i="6"/>
  <c r="C57" i="6"/>
  <c r="AA56" i="6"/>
  <c r="Z56" i="6"/>
  <c r="D56" i="6"/>
  <c r="C56" i="6"/>
  <c r="AA55" i="6"/>
  <c r="D55" i="6"/>
  <c r="H57" i="5"/>
  <c r="D53" i="6"/>
  <c r="D51" i="6"/>
  <c r="C51" i="6"/>
  <c r="AA50" i="6"/>
  <c r="Z50" i="6"/>
  <c r="D50" i="6"/>
  <c r="C50" i="6"/>
  <c r="AA49" i="6"/>
  <c r="Z49" i="6"/>
  <c r="D49" i="6"/>
  <c r="C49" i="6"/>
  <c r="AA48" i="6"/>
  <c r="Z48" i="6"/>
  <c r="D48" i="6"/>
  <c r="C48" i="6"/>
  <c r="AA47" i="6"/>
  <c r="Z47" i="6"/>
  <c r="D47" i="6"/>
  <c r="C47" i="6"/>
  <c r="AA46" i="6"/>
  <c r="Z46" i="6"/>
  <c r="D46" i="6"/>
  <c r="C46" i="6"/>
  <c r="AA45" i="6"/>
  <c r="Z45" i="6"/>
  <c r="D45" i="6"/>
  <c r="C45" i="6"/>
  <c r="AA44" i="6"/>
  <c r="D44" i="6"/>
  <c r="D42" i="6"/>
  <c r="C42" i="6"/>
  <c r="D41" i="6"/>
  <c r="C41" i="6"/>
  <c r="D40" i="6"/>
  <c r="D38" i="6"/>
  <c r="D36" i="6"/>
  <c r="C36" i="6"/>
  <c r="D35" i="6"/>
  <c r="C35" i="6"/>
  <c r="D34" i="6"/>
  <c r="C34" i="6"/>
  <c r="D33" i="6"/>
  <c r="C33" i="6"/>
  <c r="D32" i="6"/>
  <c r="C32" i="6"/>
  <c r="D31" i="6"/>
  <c r="C31" i="6"/>
  <c r="D30" i="6"/>
  <c r="C30" i="6"/>
  <c r="D29" i="6"/>
  <c r="D27" i="6"/>
  <c r="C27" i="6"/>
  <c r="AA26" i="6"/>
  <c r="Z26" i="6"/>
  <c r="D26" i="6"/>
  <c r="C26" i="6"/>
  <c r="AA25" i="6"/>
  <c r="Z25" i="6"/>
  <c r="D25" i="6"/>
  <c r="C25" i="6"/>
  <c r="AA24" i="6"/>
  <c r="Z24" i="6"/>
  <c r="D24" i="6"/>
  <c r="C24" i="6"/>
  <c r="AA23" i="6"/>
  <c r="Z23" i="6"/>
  <c r="D23" i="6"/>
  <c r="C23" i="6"/>
  <c r="AA22" i="6"/>
  <c r="Z22" i="6"/>
  <c r="D22" i="6"/>
  <c r="C22" i="6"/>
  <c r="AA21" i="6"/>
  <c r="Z21" i="6"/>
  <c r="D21" i="6"/>
  <c r="C21" i="6"/>
  <c r="AA20" i="6"/>
  <c r="Z20" i="6"/>
  <c r="D20" i="6"/>
  <c r="C20" i="6"/>
  <c r="AA19" i="6"/>
  <c r="Z19" i="6"/>
  <c r="D19" i="6"/>
  <c r="C19" i="6"/>
  <c r="AA18" i="6"/>
  <c r="D18" i="6"/>
  <c r="D16" i="6"/>
  <c r="C16" i="6"/>
  <c r="D15" i="6"/>
  <c r="C15" i="6"/>
  <c r="AA14" i="6"/>
  <c r="Z14" i="6"/>
  <c r="D14" i="6"/>
  <c r="C14" i="6"/>
  <c r="AA13" i="6"/>
  <c r="Z13" i="6"/>
  <c r="D13" i="6"/>
  <c r="C13" i="6"/>
  <c r="AA12" i="6"/>
  <c r="Z12" i="6"/>
  <c r="D12" i="6"/>
  <c r="C12" i="6"/>
  <c r="AA11" i="6"/>
  <c r="Z11" i="6"/>
  <c r="D11" i="6"/>
  <c r="C11" i="6"/>
  <c r="AA10" i="6"/>
  <c r="Z10" i="6"/>
  <c r="D10" i="6"/>
  <c r="C10" i="6"/>
  <c r="AA9" i="6"/>
  <c r="Z9" i="6"/>
  <c r="D9" i="6"/>
  <c r="C9" i="6"/>
  <c r="AA8" i="6"/>
  <c r="Z8" i="6"/>
  <c r="D8" i="6"/>
  <c r="C8" i="6"/>
  <c r="AA7" i="6"/>
  <c r="Z7" i="6"/>
  <c r="AA6" i="6"/>
  <c r="D73" i="6" s="1"/>
  <c r="C73" i="6" s="1"/>
  <c r="D6" i="6"/>
  <c r="A5" i="5"/>
  <c r="K36" i="4"/>
  <c r="J36" i="4"/>
  <c r="K30" i="4"/>
  <c r="K26" i="4"/>
  <c r="K18" i="4"/>
  <c r="K11" i="4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C4" i="1"/>
  <c r="AA53" i="6"/>
  <c r="J57" i="5"/>
  <c r="H30" i="4"/>
  <c r="I28" i="4"/>
  <c r="I23" i="4"/>
  <c r="I29" i="4"/>
  <c r="I17" i="4"/>
  <c r="I35" i="4"/>
  <c r="I22" i="4"/>
  <c r="H26" i="4"/>
  <c r="H36" i="4"/>
  <c r="I13" i="4"/>
  <c r="F63" i="7"/>
  <c r="U69" i="7"/>
  <c r="U71" i="7"/>
  <c r="U67" i="6"/>
  <c r="R67" i="6"/>
  <c r="R69" i="6"/>
  <c r="R71" i="6"/>
  <c r="T69" i="7"/>
  <c r="T71" i="7"/>
  <c r="T63" i="7"/>
  <c r="M69" i="7"/>
  <c r="M71" i="7"/>
  <c r="J63" i="7"/>
  <c r="U63" i="7"/>
  <c r="H69" i="7"/>
  <c r="H71" i="7"/>
  <c r="G63" i="7"/>
  <c r="K69" i="7"/>
  <c r="K71" i="7"/>
  <c r="K63" i="7"/>
  <c r="J69" i="7"/>
  <c r="J71" i="7"/>
  <c r="I63" i="7"/>
  <c r="I69" i="7"/>
  <c r="I71" i="7"/>
  <c r="G71" i="7"/>
  <c r="E69" i="7"/>
  <c r="E71" i="7"/>
  <c r="H18" i="4"/>
  <c r="I25" i="4"/>
  <c r="I32" i="4"/>
  <c r="I16" i="4"/>
  <c r="M63" i="7"/>
  <c r="V67" i="6"/>
  <c r="I21" i="4"/>
  <c r="I34" i="4"/>
  <c r="I33" i="4"/>
  <c r="P67" i="6"/>
  <c r="P69" i="6"/>
  <c r="P71" i="6"/>
  <c r="T67" i="6"/>
  <c r="T69" i="6"/>
  <c r="T71" i="6"/>
  <c r="J67" i="6"/>
  <c r="S67" i="6"/>
  <c r="S69" i="6"/>
  <c r="S71" i="6"/>
  <c r="Q67" i="6"/>
  <c r="Q69" i="6"/>
  <c r="Q71" i="6"/>
  <c r="U69" i="6"/>
  <c r="U71" i="6"/>
  <c r="I14" i="4"/>
  <c r="H63" i="7"/>
  <c r="G40" i="4"/>
  <c r="E63" i="7"/>
  <c r="H40" i="4"/>
  <c r="I65" i="6"/>
  <c r="M65" i="6"/>
  <c r="I15" i="4"/>
  <c r="L63" i="7"/>
  <c r="G36" i="4"/>
  <c r="C56" i="5"/>
  <c r="G26" i="4"/>
  <c r="G30" i="4"/>
  <c r="I20" i="4"/>
  <c r="G18" i="4"/>
  <c r="AA60" i="6"/>
  <c r="Z60" i="6"/>
  <c r="C62" i="5"/>
  <c r="C32" i="5"/>
  <c r="C58" i="5"/>
  <c r="C41" i="5"/>
  <c r="E34" i="4"/>
  <c r="E17" i="4"/>
  <c r="E29" i="4"/>
  <c r="E35" i="4"/>
  <c r="H56" i="5"/>
  <c r="H58" i="5"/>
  <c r="H21" i="5"/>
  <c r="D15" i="4"/>
  <c r="D33" i="4"/>
  <c r="H47" i="5"/>
  <c r="D34" i="4"/>
  <c r="V65" i="6"/>
  <c r="K67" i="6"/>
  <c r="F65" i="6"/>
  <c r="F69" i="6"/>
  <c r="F71" i="6"/>
  <c r="J65" i="6"/>
  <c r="G67" i="6"/>
  <c r="W67" i="6"/>
  <c r="D17" i="4"/>
  <c r="D29" i="4"/>
  <c r="D35" i="4"/>
  <c r="E14" i="4"/>
  <c r="E32" i="4"/>
  <c r="G65" i="6"/>
  <c r="K65" i="6"/>
  <c r="W65" i="6"/>
  <c r="H67" i="6"/>
  <c r="L67" i="6"/>
  <c r="D14" i="4"/>
  <c r="D32" i="4"/>
  <c r="E15" i="4"/>
  <c r="E33" i="4"/>
  <c r="K38" i="4"/>
  <c r="C21" i="5"/>
  <c r="C43" i="5"/>
  <c r="C47" i="5"/>
  <c r="H65" i="6"/>
  <c r="L65" i="6"/>
  <c r="E67" i="6"/>
  <c r="E69" i="6"/>
  <c r="E71" i="6"/>
  <c r="I67" i="6"/>
  <c r="M67" i="6"/>
  <c r="D7" i="6"/>
  <c r="C7" i="6"/>
  <c r="C9" i="5"/>
  <c r="C6" i="6"/>
  <c r="C18" i="6"/>
  <c r="D17" i="6"/>
  <c r="C17" i="6"/>
  <c r="Z18" i="6"/>
  <c r="AA17" i="6"/>
  <c r="Z17" i="6"/>
  <c r="C29" i="6"/>
  <c r="D28" i="6"/>
  <c r="C28" i="6"/>
  <c r="C38" i="6"/>
  <c r="D37" i="6"/>
  <c r="C37" i="6"/>
  <c r="C40" i="6"/>
  <c r="D39" i="6"/>
  <c r="C39" i="6"/>
  <c r="C44" i="6"/>
  <c r="D43" i="6"/>
  <c r="C43" i="6"/>
  <c r="Z44" i="6"/>
  <c r="AA43" i="6"/>
  <c r="Z43" i="6"/>
  <c r="C53" i="6"/>
  <c r="D52" i="6"/>
  <c r="C52" i="6"/>
  <c r="Z53" i="6"/>
  <c r="AA52" i="6"/>
  <c r="Z52" i="6"/>
  <c r="C55" i="6"/>
  <c r="D54" i="6"/>
  <c r="C54" i="6"/>
  <c r="Z55" i="6"/>
  <c r="AA54" i="6"/>
  <c r="Z54" i="6"/>
  <c r="C59" i="6"/>
  <c r="D58" i="6"/>
  <c r="G61" i="6"/>
  <c r="H61" i="6"/>
  <c r="I61" i="6"/>
  <c r="J61" i="6"/>
  <c r="AD61" i="6"/>
  <c r="AE61" i="6"/>
  <c r="AF61" i="6"/>
  <c r="AG61" i="6"/>
  <c r="AH61" i="6"/>
  <c r="AI61" i="6"/>
  <c r="AJ61" i="6"/>
  <c r="AQ61" i="6"/>
  <c r="T63" i="6"/>
  <c r="AR61" i="6"/>
  <c r="U63" i="6"/>
  <c r="K61" i="6"/>
  <c r="L61" i="6"/>
  <c r="M61" i="6"/>
  <c r="V61" i="6"/>
  <c r="V63" i="6"/>
  <c r="W61" i="6"/>
  <c r="W63" i="6"/>
  <c r="I36" i="4"/>
  <c r="I30" i="4"/>
  <c r="I18" i="4"/>
  <c r="I26" i="4"/>
  <c r="V69" i="6"/>
  <c r="V71" i="6"/>
  <c r="W69" i="6"/>
  <c r="W71" i="6"/>
  <c r="M69" i="6"/>
  <c r="M71" i="6"/>
  <c r="D40" i="4"/>
  <c r="E40" i="4"/>
  <c r="J69" i="6"/>
  <c r="J71" i="6"/>
  <c r="L69" i="6"/>
  <c r="L71" i="6"/>
  <c r="I69" i="6"/>
  <c r="I71" i="6"/>
  <c r="I63" i="6"/>
  <c r="H69" i="6"/>
  <c r="H71" i="6"/>
  <c r="H63" i="6"/>
  <c r="G69" i="6"/>
  <c r="G71" i="6"/>
  <c r="K69" i="6"/>
  <c r="K71" i="6"/>
  <c r="I40" i="4"/>
  <c r="F7" i="4"/>
  <c r="F29" i="4"/>
  <c r="E30" i="4"/>
  <c r="F21" i="4"/>
  <c r="F16" i="4"/>
  <c r="J16" i="4"/>
  <c r="F6" i="4"/>
  <c r="F8" i="4"/>
  <c r="F32" i="4"/>
  <c r="F33" i="4"/>
  <c r="D5" i="6"/>
  <c r="C5" i="6"/>
  <c r="F22" i="4"/>
  <c r="J22" i="4"/>
  <c r="F9" i="4"/>
  <c r="X60" i="7"/>
  <c r="F35" i="4"/>
  <c r="F24" i="4"/>
  <c r="D18" i="4"/>
  <c r="F23" i="4"/>
  <c r="F34" i="4"/>
  <c r="F15" i="4"/>
  <c r="F20" i="4"/>
  <c r="J20" i="4"/>
  <c r="F17" i="4"/>
  <c r="F28" i="4"/>
  <c r="J28" i="4"/>
  <c r="J30" i="4"/>
  <c r="F10" i="4"/>
  <c r="E18" i="4"/>
  <c r="E26" i="4"/>
  <c r="E36" i="4"/>
  <c r="E11" i="4"/>
  <c r="F25" i="4"/>
  <c r="J25" i="4"/>
  <c r="F14" i="4"/>
  <c r="G63" i="6"/>
  <c r="F13" i="4"/>
  <c r="J13" i="4"/>
  <c r="D26" i="4"/>
  <c r="J63" i="6"/>
  <c r="F63" i="6"/>
  <c r="C65" i="5"/>
  <c r="C70" i="5"/>
  <c r="D30" i="4"/>
  <c r="D36" i="4"/>
  <c r="D11" i="4"/>
  <c r="M63" i="6"/>
  <c r="L63" i="6"/>
  <c r="K63" i="6"/>
  <c r="E63" i="6"/>
  <c r="C58" i="6"/>
  <c r="J18" i="4"/>
  <c r="J26" i="4"/>
  <c r="F30" i="4"/>
  <c r="F18" i="4"/>
  <c r="D61" i="6"/>
  <c r="C61" i="6"/>
  <c r="D65" i="6"/>
  <c r="C65" i="6"/>
  <c r="D38" i="4"/>
  <c r="D42" i="4"/>
  <c r="F26" i="4"/>
  <c r="E38" i="4"/>
  <c r="E42" i="4"/>
  <c r="F36" i="4"/>
  <c r="F11" i="4"/>
  <c r="F40" i="4"/>
  <c r="F38" i="4"/>
  <c r="F42" i="4"/>
  <c r="K57" i="53" l="1"/>
  <c r="O32" i="24"/>
  <c r="M1" i="24"/>
  <c r="D52" i="5" s="1"/>
  <c r="D48" i="7" s="1"/>
  <c r="C48" i="7" s="1"/>
  <c r="I43" i="46"/>
  <c r="I40" i="46" s="1"/>
  <c r="N34" i="24"/>
  <c r="O39" i="24"/>
  <c r="N33" i="24"/>
  <c r="O41" i="24"/>
  <c r="N36" i="24"/>
  <c r="N38" i="24"/>
  <c r="N30" i="24"/>
  <c r="N40" i="24"/>
  <c r="O42" i="24"/>
  <c r="C72" i="5"/>
  <c r="C74" i="5" s="1"/>
  <c r="H72" i="5"/>
  <c r="H74" i="5" s="1"/>
  <c r="Z6" i="6"/>
  <c r="AA5" i="6"/>
  <c r="N37" i="24"/>
  <c r="N35" i="24"/>
  <c r="I25" i="46"/>
  <c r="H11" i="46"/>
  <c r="O8" i="24"/>
  <c r="I24" i="46" s="1"/>
  <c r="O28" i="24"/>
  <c r="I37" i="46" s="1"/>
  <c r="I33" i="46" s="1"/>
  <c r="N7" i="24"/>
  <c r="H24" i="46" s="1"/>
  <c r="O13" i="24"/>
  <c r="O15" i="24"/>
  <c r="O12" i="24"/>
  <c r="N13" i="24"/>
  <c r="H23" i="46" s="1"/>
  <c r="H37" i="46"/>
  <c r="G38" i="46"/>
  <c r="G38" i="32"/>
  <c r="B5" i="36"/>
  <c r="C5" i="36" s="1"/>
  <c r="B27" i="36"/>
  <c r="G48" i="32"/>
  <c r="G35" i="46"/>
  <c r="D9" i="54"/>
  <c r="H9" i="54"/>
  <c r="G36" i="46"/>
  <c r="G9" i="46"/>
  <c r="I11" i="46"/>
  <c r="H43" i="46"/>
  <c r="G40" i="32"/>
  <c r="G42" i="46"/>
  <c r="H13" i="46"/>
  <c r="H8" i="46"/>
  <c r="H26" i="46"/>
  <c r="G49" i="32"/>
  <c r="H25" i="46"/>
  <c r="G28" i="46"/>
  <c r="G34" i="32"/>
  <c r="I26" i="46"/>
  <c r="I8" i="46"/>
  <c r="G43" i="32"/>
  <c r="F10" i="36"/>
  <c r="H35" i="32"/>
  <c r="H32" i="32"/>
  <c r="G32" i="32"/>
  <c r="C38" i="7"/>
  <c r="D37" i="7"/>
  <c r="C37" i="7" s="1"/>
  <c r="G45" i="32"/>
  <c r="H45" i="32"/>
  <c r="B26" i="36"/>
  <c r="G44" i="32"/>
  <c r="H46" i="32"/>
  <c r="I24" i="32"/>
  <c r="G33" i="32"/>
  <c r="H12" i="36"/>
  <c r="G41" i="46"/>
  <c r="D41" i="5"/>
  <c r="G15" i="46"/>
  <c r="G10" i="46"/>
  <c r="I13" i="46"/>
  <c r="G34" i="46"/>
  <c r="G47" i="32"/>
  <c r="G14" i="46"/>
  <c r="H13" i="36"/>
  <c r="I52" i="32"/>
  <c r="J52" i="32" s="1"/>
  <c r="G39" i="32"/>
  <c r="G31" i="32"/>
  <c r="I73" i="56"/>
  <c r="J73" i="56" s="1"/>
  <c r="I72" i="56"/>
  <c r="I71" i="56"/>
  <c r="J71" i="56" s="1"/>
  <c r="I70" i="56"/>
  <c r="J70" i="56" s="1"/>
  <c r="I69" i="56"/>
  <c r="J69" i="56" s="1"/>
  <c r="J36" i="56"/>
  <c r="J32" i="56"/>
  <c r="J28" i="56"/>
  <c r="J24" i="56"/>
  <c r="J20" i="56"/>
  <c r="J16" i="56"/>
  <c r="J12" i="56"/>
  <c r="F49" i="55"/>
  <c r="F48" i="55" s="1"/>
  <c r="K10" i="55"/>
  <c r="C10" i="55"/>
  <c r="C30" i="55"/>
  <c r="C29" i="55"/>
  <c r="C28" i="55"/>
  <c r="F28" i="55" s="1"/>
  <c r="C27" i="55"/>
  <c r="C22" i="55"/>
  <c r="C20" i="55"/>
  <c r="C19" i="55"/>
  <c r="C18" i="55"/>
  <c r="C17" i="55"/>
  <c r="C16" i="55"/>
  <c r="K10" i="53"/>
  <c r="F54" i="53"/>
  <c r="F53" i="53" s="1"/>
  <c r="C10" i="53"/>
  <c r="C17" i="53"/>
  <c r="C16" i="53"/>
  <c r="C34" i="53"/>
  <c r="C30" i="53"/>
  <c r="F22" i="53"/>
  <c r="N55" i="24"/>
  <c r="H47" i="46" s="1"/>
  <c r="O55" i="24"/>
  <c r="I47" i="46" s="1"/>
  <c r="I49" i="46" s="1"/>
  <c r="N18" i="24"/>
  <c r="H46" i="46" s="1"/>
  <c r="O18" i="24"/>
  <c r="I46" i="46" s="1"/>
  <c r="G1" i="24"/>
  <c r="F45" i="53" l="1"/>
  <c r="D20" i="5"/>
  <c r="D16" i="7" s="1"/>
  <c r="C16" i="7" s="1"/>
  <c r="D36" i="5"/>
  <c r="E36" i="5" s="1"/>
  <c r="I17" i="5"/>
  <c r="Y13" i="7" s="1"/>
  <c r="X13" i="7" s="1"/>
  <c r="D24" i="5"/>
  <c r="D20" i="7" s="1"/>
  <c r="C20" i="7" s="1"/>
  <c r="D61" i="5"/>
  <c r="D57" i="7" s="1"/>
  <c r="C57" i="7" s="1"/>
  <c r="D17" i="5"/>
  <c r="D13" i="7" s="1"/>
  <c r="C13" i="7" s="1"/>
  <c r="I76" i="5"/>
  <c r="I60" i="5"/>
  <c r="Y56" i="7" s="1"/>
  <c r="X56" i="7" s="1"/>
  <c r="D38" i="5"/>
  <c r="D34" i="7" s="1"/>
  <c r="C34" i="7" s="1"/>
  <c r="I63" i="5"/>
  <c r="Y59" i="7" s="1"/>
  <c r="X59" i="7" s="1"/>
  <c r="D31" i="5"/>
  <c r="D27" i="7" s="1"/>
  <c r="C27" i="7" s="1"/>
  <c r="I27" i="5"/>
  <c r="Y23" i="7" s="1"/>
  <c r="X23" i="7" s="1"/>
  <c r="D44" i="5"/>
  <c r="E44" i="5" s="1"/>
  <c r="I16" i="5"/>
  <c r="Y12" i="7" s="1"/>
  <c r="X12" i="7" s="1"/>
  <c r="D15" i="5"/>
  <c r="D11" i="7" s="1"/>
  <c r="C11" i="7" s="1"/>
  <c r="D49" i="5"/>
  <c r="D45" i="7" s="1"/>
  <c r="C45" i="7" s="1"/>
  <c r="I48" i="5"/>
  <c r="Y44" i="7" s="1"/>
  <c r="X44" i="7" s="1"/>
  <c r="D19" i="5"/>
  <c r="D15" i="7" s="1"/>
  <c r="C15" i="7" s="1"/>
  <c r="D37" i="5"/>
  <c r="E37" i="5" s="1"/>
  <c r="D11" i="5"/>
  <c r="D7" i="7" s="1"/>
  <c r="C7" i="7" s="1"/>
  <c r="D27" i="5"/>
  <c r="D23" i="7" s="1"/>
  <c r="C23" i="7" s="1"/>
  <c r="D30" i="5"/>
  <c r="D26" i="7" s="1"/>
  <c r="C26" i="7" s="1"/>
  <c r="I49" i="5"/>
  <c r="Y45" i="7" s="1"/>
  <c r="X45" i="7" s="1"/>
  <c r="I14" i="5"/>
  <c r="Y10" i="7" s="1"/>
  <c r="X10" i="7" s="1"/>
  <c r="D13" i="5"/>
  <c r="E13" i="5" s="1"/>
  <c r="D26" i="5"/>
  <c r="D22" i="7" s="1"/>
  <c r="C22" i="7" s="1"/>
  <c r="D28" i="5"/>
  <c r="D24" i="7" s="1"/>
  <c r="C24" i="7" s="1"/>
  <c r="D48" i="5"/>
  <c r="D44" i="7" s="1"/>
  <c r="I25" i="5"/>
  <c r="J25" i="5" s="1"/>
  <c r="D35" i="5"/>
  <c r="D31" i="7" s="1"/>
  <c r="C31" i="7" s="1"/>
  <c r="I13" i="5"/>
  <c r="Y9" i="7" s="1"/>
  <c r="X9" i="7" s="1"/>
  <c r="D55" i="5"/>
  <c r="D51" i="7" s="1"/>
  <c r="C51" i="7" s="1"/>
  <c r="D40" i="5"/>
  <c r="D36" i="7" s="1"/>
  <c r="C36" i="7" s="1"/>
  <c r="D45" i="5"/>
  <c r="D41" i="7" s="1"/>
  <c r="C41" i="7" s="1"/>
  <c r="D63" i="5"/>
  <c r="I52" i="5"/>
  <c r="Y48" i="7" s="1"/>
  <c r="X48" i="7" s="1"/>
  <c r="D60" i="5"/>
  <c r="D56" i="7" s="1"/>
  <c r="C56" i="7" s="1"/>
  <c r="D16" i="5"/>
  <c r="E16" i="5" s="1"/>
  <c r="I18" i="5"/>
  <c r="Y14" i="7" s="1"/>
  <c r="X14" i="7" s="1"/>
  <c r="I57" i="5"/>
  <c r="I56" i="5" s="1"/>
  <c r="D33" i="5"/>
  <c r="D29" i="7" s="1"/>
  <c r="D34" i="5"/>
  <c r="D30" i="7" s="1"/>
  <c r="C30" i="7" s="1"/>
  <c r="D10" i="5"/>
  <c r="D6" i="7" s="1"/>
  <c r="C6" i="7" s="1"/>
  <c r="I61" i="5"/>
  <c r="Y57" i="7" s="1"/>
  <c r="X57" i="7" s="1"/>
  <c r="I11" i="5"/>
  <c r="Y7" i="7" s="1"/>
  <c r="I15" i="5"/>
  <c r="Y11" i="7" s="1"/>
  <c r="X11" i="7" s="1"/>
  <c r="D50" i="5"/>
  <c r="D46" i="7" s="1"/>
  <c r="C46" i="7" s="1"/>
  <c r="D25" i="5"/>
  <c r="D21" i="7" s="1"/>
  <c r="C21" i="7" s="1"/>
  <c r="D64" i="5"/>
  <c r="D60" i="7" s="1"/>
  <c r="C60" i="7" s="1"/>
  <c r="I59" i="5"/>
  <c r="Y55" i="7" s="1"/>
  <c r="D59" i="5"/>
  <c r="D55" i="7" s="1"/>
  <c r="C55" i="7" s="1"/>
  <c r="I24" i="5"/>
  <c r="Y20" i="7" s="1"/>
  <c r="X20" i="7" s="1"/>
  <c r="D18" i="5"/>
  <c r="E18" i="5" s="1"/>
  <c r="D53" i="5"/>
  <c r="D49" i="7" s="1"/>
  <c r="C49" i="7" s="1"/>
  <c r="I22" i="5"/>
  <c r="J22" i="5" s="1"/>
  <c r="I29" i="5"/>
  <c r="Y25" i="7" s="1"/>
  <c r="X25" i="7" s="1"/>
  <c r="I12" i="5"/>
  <c r="Y8" i="7" s="1"/>
  <c r="X8" i="7" s="1"/>
  <c r="D23" i="5"/>
  <c r="E23" i="5" s="1"/>
  <c r="D12" i="5"/>
  <c r="D8" i="7" s="1"/>
  <c r="C8" i="7" s="1"/>
  <c r="I10" i="5"/>
  <c r="D22" i="5"/>
  <c r="E22" i="5" s="1"/>
  <c r="D51" i="5"/>
  <c r="D47" i="7" s="1"/>
  <c r="C47" i="7" s="1"/>
  <c r="D39" i="5"/>
  <c r="E39" i="5" s="1"/>
  <c r="D54" i="5"/>
  <c r="D50" i="7" s="1"/>
  <c r="C50" i="7" s="1"/>
  <c r="D29" i="5"/>
  <c r="D25" i="7" s="1"/>
  <c r="C25" i="7" s="1"/>
  <c r="I62" i="5"/>
  <c r="Y58" i="7" s="1"/>
  <c r="X58" i="7" s="1"/>
  <c r="I26" i="5"/>
  <c r="Y22" i="7" s="1"/>
  <c r="X22" i="7" s="1"/>
  <c r="I28" i="5"/>
  <c r="Y24" i="7" s="1"/>
  <c r="X24" i="7" s="1"/>
  <c r="I50" i="5"/>
  <c r="J50" i="5" s="1"/>
  <c r="D57" i="5"/>
  <c r="D56" i="5" s="1"/>
  <c r="I30" i="5"/>
  <c r="Y26" i="7" s="1"/>
  <c r="X26" i="7" s="1"/>
  <c r="D46" i="5"/>
  <c r="D42" i="7" s="1"/>
  <c r="C42" i="7" s="1"/>
  <c r="I23" i="5"/>
  <c r="Y19" i="7" s="1"/>
  <c r="X19" i="7" s="1"/>
  <c r="I51" i="5"/>
  <c r="Y47" i="7" s="1"/>
  <c r="X47" i="7" s="1"/>
  <c r="G43" i="46"/>
  <c r="D67" i="6"/>
  <c r="AA61" i="6"/>
  <c r="Z5" i="6"/>
  <c r="H7" i="46"/>
  <c r="H17" i="46" s="1"/>
  <c r="G25" i="46"/>
  <c r="G11" i="46"/>
  <c r="H40" i="46"/>
  <c r="G40" i="46" s="1"/>
  <c r="G24" i="46"/>
  <c r="I23" i="46"/>
  <c r="G23" i="46" s="1"/>
  <c r="G37" i="46"/>
  <c r="H33" i="46"/>
  <c r="G33" i="46" s="1"/>
  <c r="B29" i="36"/>
  <c r="F32" i="36" s="1"/>
  <c r="D21" i="53"/>
  <c r="F21" i="53" s="1"/>
  <c r="D24" i="53"/>
  <c r="F24" i="53" s="1"/>
  <c r="F30" i="53"/>
  <c r="F35" i="53"/>
  <c r="D34" i="53"/>
  <c r="F34" i="53" s="1"/>
  <c r="D20" i="53"/>
  <c r="G8" i="46"/>
  <c r="G26" i="46"/>
  <c r="I7" i="46"/>
  <c r="G13" i="46"/>
  <c r="I54" i="32"/>
  <c r="J17" i="5"/>
  <c r="I45" i="46"/>
  <c r="J72" i="56"/>
  <c r="J74" i="56" s="1"/>
  <c r="J76" i="56" s="1"/>
  <c r="N70" i="56"/>
  <c r="N72" i="56" s="1"/>
  <c r="D30" i="55"/>
  <c r="F30" i="55" s="1"/>
  <c r="D29" i="55"/>
  <c r="F29" i="55" s="1"/>
  <c r="D27" i="55"/>
  <c r="F27" i="55" s="1"/>
  <c r="F31" i="55" s="1"/>
  <c r="D22" i="55"/>
  <c r="D21" i="55"/>
  <c r="F21" i="55" s="1"/>
  <c r="D20" i="55"/>
  <c r="D19" i="55"/>
  <c r="F19" i="55" s="1"/>
  <c r="D18" i="55"/>
  <c r="F18" i="55" s="1"/>
  <c r="D17" i="55"/>
  <c r="F17" i="55" s="1"/>
  <c r="D16" i="55"/>
  <c r="F16" i="55" s="1"/>
  <c r="F23" i="55" s="1"/>
  <c r="F46" i="55" s="1"/>
  <c r="F40" i="55"/>
  <c r="F45" i="55" s="1"/>
  <c r="F44" i="55" s="1"/>
  <c r="F52" i="55" s="1"/>
  <c r="F33" i="53"/>
  <c r="F20" i="53"/>
  <c r="F41" i="53"/>
  <c r="D19" i="53"/>
  <c r="F19" i="53" s="1"/>
  <c r="D17" i="53"/>
  <c r="F17" i="53" s="1"/>
  <c r="E31" i="24" s="1"/>
  <c r="D16" i="53"/>
  <c r="F16" i="53" s="1"/>
  <c r="G46" i="46"/>
  <c r="H45" i="46"/>
  <c r="G47" i="46"/>
  <c r="H49" i="46"/>
  <c r="H22" i="46"/>
  <c r="Y21" i="7" l="1"/>
  <c r="X21" i="7" s="1"/>
  <c r="E48" i="5"/>
  <c r="D33" i="7"/>
  <c r="C33" i="7" s="1"/>
  <c r="D40" i="7"/>
  <c r="C40" i="7" s="1"/>
  <c r="D32" i="7"/>
  <c r="C32" i="7" s="1"/>
  <c r="E28" i="5"/>
  <c r="D47" i="5"/>
  <c r="D9" i="7"/>
  <c r="C9" i="7" s="1"/>
  <c r="Y46" i="7"/>
  <c r="X46" i="7" s="1"/>
  <c r="E27" i="5"/>
  <c r="D53" i="7"/>
  <c r="C53" i="7" s="1"/>
  <c r="N31" i="24"/>
  <c r="H20" i="46" s="1"/>
  <c r="H30" i="46" s="1"/>
  <c r="H51" i="46" s="1"/>
  <c r="G10" i="4"/>
  <c r="G8" i="4"/>
  <c r="H10" i="4"/>
  <c r="G9" i="4"/>
  <c r="J1" i="24"/>
  <c r="O31" i="24"/>
  <c r="I20" i="46" s="1"/>
  <c r="G6" i="4"/>
  <c r="H7" i="4"/>
  <c r="G7" i="4"/>
  <c r="D14" i="5"/>
  <c r="E14" i="5" s="1"/>
  <c r="H8" i="4"/>
  <c r="H9" i="4"/>
  <c r="H6" i="4"/>
  <c r="I58" i="5"/>
  <c r="Y18" i="7"/>
  <c r="X18" i="7" s="1"/>
  <c r="D14" i="7"/>
  <c r="C14" i="7" s="1"/>
  <c r="I9" i="5"/>
  <c r="E38" i="5"/>
  <c r="D32" i="5"/>
  <c r="D35" i="7"/>
  <c r="C35" i="7" s="1"/>
  <c r="D62" i="5"/>
  <c r="D21" i="5"/>
  <c r="D43" i="5"/>
  <c r="I21" i="5"/>
  <c r="I47" i="5"/>
  <c r="J10" i="5"/>
  <c r="D59" i="7"/>
  <c r="D58" i="7" s="1"/>
  <c r="M8" i="5"/>
  <c r="Y6" i="7"/>
  <c r="X6" i="7" s="1"/>
  <c r="D12" i="7"/>
  <c r="C12" i="7" s="1"/>
  <c r="J11" i="5"/>
  <c r="D19" i="7"/>
  <c r="C19" i="7" s="1"/>
  <c r="D58" i="5"/>
  <c r="D18" i="7"/>
  <c r="C18" i="7" s="1"/>
  <c r="Y53" i="7"/>
  <c r="Y52" i="7" s="1"/>
  <c r="X52" i="7" s="1"/>
  <c r="D63" i="6"/>
  <c r="C63" i="6" s="1"/>
  <c r="Z61" i="6"/>
  <c r="C67" i="6"/>
  <c r="C69" i="6" s="1"/>
  <c r="C71" i="6" s="1"/>
  <c r="D69" i="6"/>
  <c r="D71" i="6" s="1"/>
  <c r="G7" i="46"/>
  <c r="G17" i="46" s="1"/>
  <c r="I22" i="46"/>
  <c r="F26" i="53"/>
  <c r="F51" i="53" s="1"/>
  <c r="F36" i="53"/>
  <c r="I17" i="46"/>
  <c r="C29" i="7"/>
  <c r="G45" i="46"/>
  <c r="G49" i="46" s="1"/>
  <c r="Y54" i="7"/>
  <c r="X55" i="7"/>
  <c r="D43" i="7"/>
  <c r="C43" i="7" s="1"/>
  <c r="C44" i="7"/>
  <c r="X7" i="7"/>
  <c r="D39" i="7"/>
  <c r="C39" i="7" s="1"/>
  <c r="D54" i="7"/>
  <c r="C54" i="7" s="1"/>
  <c r="F42" i="53"/>
  <c r="Y43" i="7" l="1"/>
  <c r="X43" i="7" s="1"/>
  <c r="D28" i="7"/>
  <c r="C28" i="7" s="1"/>
  <c r="D52" i="7"/>
  <c r="C52" i="7" s="1"/>
  <c r="I7" i="4"/>
  <c r="J7" i="4" s="1"/>
  <c r="I65" i="5"/>
  <c r="I70" i="5" s="1"/>
  <c r="Y17" i="7"/>
  <c r="X17" i="7" s="1"/>
  <c r="I8" i="4"/>
  <c r="I9" i="4"/>
  <c r="J9" i="4" s="1"/>
  <c r="X53" i="7"/>
  <c r="G11" i="4"/>
  <c r="G38" i="4" s="1"/>
  <c r="G42" i="4" s="1"/>
  <c r="C59" i="7"/>
  <c r="D73" i="7"/>
  <c r="C73" i="7" s="1"/>
  <c r="E228" i="47"/>
  <c r="C163" i="47"/>
  <c r="E123" i="47"/>
  <c r="C58" i="47"/>
  <c r="C61" i="47" s="1"/>
  <c r="C395" i="47"/>
  <c r="C398" i="47" s="1"/>
  <c r="E308" i="47"/>
  <c r="C260" i="47"/>
  <c r="C307" i="47"/>
  <c r="C312" i="47"/>
  <c r="E121" i="47"/>
  <c r="C203" i="47"/>
  <c r="E157" i="47"/>
  <c r="C278" i="47"/>
  <c r="E429" i="47"/>
  <c r="E433" i="47" s="1"/>
  <c r="C35" i="47"/>
  <c r="E202" i="47"/>
  <c r="C80" i="47"/>
  <c r="C419" i="47"/>
  <c r="E58" i="47"/>
  <c r="E61" i="47" s="1"/>
  <c r="C236" i="47"/>
  <c r="C162" i="47"/>
  <c r="E122" i="47"/>
  <c r="C34" i="47"/>
  <c r="E395" i="47"/>
  <c r="E398" i="47" s="1"/>
  <c r="C208" i="47"/>
  <c r="C13" i="47"/>
  <c r="C228" i="47"/>
  <c r="E109" i="47"/>
  <c r="E113" i="47" s="1"/>
  <c r="C263" i="47"/>
  <c r="E125" i="47"/>
  <c r="C262" i="47"/>
  <c r="C165" i="47"/>
  <c r="E156" i="47" s="1"/>
  <c r="E155" i="47" s="1"/>
  <c r="C164" i="47"/>
  <c r="C313" i="47"/>
  <c r="C234" i="47"/>
  <c r="C159" i="47"/>
  <c r="C125" i="47"/>
  <c r="E34" i="47"/>
  <c r="E37" i="47" s="1"/>
  <c r="C370" i="47"/>
  <c r="C309" i="47"/>
  <c r="C207" i="47"/>
  <c r="C209" i="47"/>
  <c r="C155" i="47"/>
  <c r="C279" i="47"/>
  <c r="C347" i="47"/>
  <c r="C235" i="47"/>
  <c r="C158" i="47"/>
  <c r="C124" i="47"/>
  <c r="C14" i="47"/>
  <c r="C369" i="47"/>
  <c r="C308" i="47"/>
  <c r="C210" i="47"/>
  <c r="C122" i="47"/>
  <c r="E260" i="47"/>
  <c r="E266" i="47" s="1"/>
  <c r="C229" i="47"/>
  <c r="E345" i="47"/>
  <c r="C121" i="47"/>
  <c r="C81" i="47"/>
  <c r="C277" i="47"/>
  <c r="C429" i="47"/>
  <c r="E418" i="47"/>
  <c r="E421" i="47" s="1"/>
  <c r="E124" i="47"/>
  <c r="C261" i="47"/>
  <c r="C233" i="47"/>
  <c r="C157" i="47"/>
  <c r="C123" i="47"/>
  <c r="E13" i="47"/>
  <c r="E19" i="47" s="1"/>
  <c r="C367" i="47"/>
  <c r="E277" i="47"/>
  <c r="E283" i="47" s="1"/>
  <c r="C204" i="47"/>
  <c r="C230" i="47"/>
  <c r="C156" i="47"/>
  <c r="C15" i="47"/>
  <c r="E346" i="47"/>
  <c r="C431" i="47"/>
  <c r="C202" i="47"/>
  <c r="E81" i="47"/>
  <c r="C346" i="47"/>
  <c r="E203" i="47"/>
  <c r="C368" i="47"/>
  <c r="E80" i="47"/>
  <c r="C345" i="47"/>
  <c r="C280" i="47"/>
  <c r="E309" i="47"/>
  <c r="E307" i="47"/>
  <c r="E229" i="47"/>
  <c r="C418" i="47"/>
  <c r="C430" i="47"/>
  <c r="D9" i="5"/>
  <c r="D65" i="5" s="1"/>
  <c r="D70" i="5" s="1"/>
  <c r="Y5" i="7"/>
  <c r="I10" i="4"/>
  <c r="J10" i="4" s="1"/>
  <c r="I6" i="4"/>
  <c r="J6" i="4" s="1"/>
  <c r="H11" i="4"/>
  <c r="D10" i="7"/>
  <c r="I30" i="46"/>
  <c r="I51" i="46" s="1"/>
  <c r="G20" i="46"/>
  <c r="D17" i="7"/>
  <c r="C17" i="7" s="1"/>
  <c r="G22" i="46"/>
  <c r="F50" i="53"/>
  <c r="F49" i="53" s="1"/>
  <c r="X54" i="7"/>
  <c r="C58" i="7"/>
  <c r="D72" i="5" l="1"/>
  <c r="M10" i="5" s="1"/>
  <c r="M11" i="5" s="1"/>
  <c r="E83" i="47"/>
  <c r="D63" i="47"/>
  <c r="Y61" i="7"/>
  <c r="X61" i="7" s="1"/>
  <c r="D67" i="7"/>
  <c r="C67" i="7" s="1"/>
  <c r="C351" i="47"/>
  <c r="G30" i="46"/>
  <c r="G51" i="46" s="1"/>
  <c r="G55" i="46" s="1"/>
  <c r="J11" i="4"/>
  <c r="J38" i="4" s="1"/>
  <c r="E351" i="47"/>
  <c r="E166" i="47"/>
  <c r="X5" i="7"/>
  <c r="F123" i="47"/>
  <c r="C166" i="47"/>
  <c r="C83" i="47"/>
  <c r="I72" i="5"/>
  <c r="C213" i="47"/>
  <c r="E213" i="47"/>
  <c r="C421" i="47"/>
  <c r="D423" i="47" s="1"/>
  <c r="C19" i="47"/>
  <c r="D21" i="47" s="1"/>
  <c r="H38" i="4"/>
  <c r="H42" i="4" s="1"/>
  <c r="I42" i="4" s="1"/>
  <c r="I11" i="4"/>
  <c r="I38" i="4" s="1"/>
  <c r="E127" i="47"/>
  <c r="C127" i="47"/>
  <c r="F121" i="47"/>
  <c r="C239" i="47"/>
  <c r="E318" i="47"/>
  <c r="F307" i="47"/>
  <c r="F125" i="47"/>
  <c r="E239" i="47"/>
  <c r="C373" i="47"/>
  <c r="D375" i="47" s="1"/>
  <c r="C318" i="47"/>
  <c r="C266" i="47"/>
  <c r="D268" i="47" s="1"/>
  <c r="F122" i="47"/>
  <c r="C433" i="47"/>
  <c r="D435" i="47" s="1"/>
  <c r="F124" i="47"/>
  <c r="D400" i="47"/>
  <c r="C111" i="47"/>
  <c r="C109" i="47"/>
  <c r="C110" i="47"/>
  <c r="C10" i="7"/>
  <c r="D5" i="7"/>
  <c r="C5" i="7" s="1"/>
  <c r="C283" i="47"/>
  <c r="D285" i="47" s="1"/>
  <c r="C37" i="47"/>
  <c r="D39" i="47" s="1"/>
  <c r="I77" i="5" l="1"/>
  <c r="D74" i="5"/>
  <c r="I74" i="5"/>
  <c r="D85" i="47"/>
  <c r="D353" i="47"/>
  <c r="D241" i="47"/>
  <c r="D215" i="47"/>
  <c r="D168" i="47"/>
  <c r="C113" i="47"/>
  <c r="D115" i="47" s="1"/>
  <c r="D129" i="47"/>
  <c r="D65" i="7"/>
  <c r="C65" i="7" s="1"/>
  <c r="C69" i="7" s="1"/>
  <c r="C71" i="7" s="1"/>
  <c r="D61" i="7"/>
  <c r="C61" i="7" s="1"/>
  <c r="D287" i="47"/>
  <c r="D320" i="47"/>
  <c r="D63" i="7" l="1"/>
  <c r="C63" i="7" s="1"/>
  <c r="D69" i="7"/>
  <c r="D71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SAMSUNG</author>
    <author>tc={8DF9045F-1BE9-403F-B05A-23C46DC8ACF4}</author>
    <author>tc={A62A30AB-CC74-4CCD-8E12-E25AE58E4E55}</author>
    <author>tc={40AA05BA-9B1F-4B7C-AC0B-D0CEE1963979}</author>
    <author>tc={0FF4B9F8-F82D-4A98-B6E0-0AFA2E837948}</author>
  </authors>
  <commentList>
    <comment ref="C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SAMSUNG:</t>
        </r>
        <r>
          <rPr>
            <sz val="9"/>
            <color indexed="81"/>
            <rFont val="Tahoma"/>
            <family val="2"/>
          </rPr>
          <t xml:space="preserve">
100€ / participants
</t>
        </r>
      </text>
    </comment>
    <comment ref="D7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SAMSUNG:</t>
        </r>
        <r>
          <rPr>
            <sz val="9"/>
            <color indexed="81"/>
            <rFont val="Tahoma"/>
            <family val="2"/>
          </rPr>
          <t xml:space="preserve">
85€ / participant * nb de cn </t>
        </r>
      </text>
    </comment>
    <comment ref="Z7" authorId="1" shapeId="0" xr:uid="{00000000-0006-0000-05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6 participations à 120 €/pers.</t>
      </text>
    </comment>
    <comment ref="AA7" authorId="2" shapeId="0" xr:uid="{00000000-0006-0000-0500-000004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3 participations à 120 €/pers.
</t>
      </text>
    </comment>
    <comment ref="S18" authorId="3" shapeId="0" xr:uid="{00000000-0006-0000-0500-000005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Loyer perm</t>
      </text>
    </comment>
    <comment ref="F32" authorId="4" shapeId="0" xr:uid="{00000000-0006-0000-05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1 voiture de troyes et 5 de metz et 1 de mulhouse
Reply:
    Peage Troye -&gt; Tronches 26€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tc={2C1D7110-527D-498A-AD81-6DFBC880F245}</author>
  </authors>
  <commentList>
    <comment ref="F28" authorId="0" shapeId="0" xr:uid="{2C1D7110-527D-498A-AD81-6DFBC880F245}">
      <text>
        <t>[Threaded comment]
Your version of Excel allows you to read this threaded comment; however, any edits to it will get removed if the file is opened in a newer version of Excel. Learn more: https://go.microsoft.com/fwlink/?linkid=870924
Comment:
    deux véhicules à 60€/j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Muller, Pierre</author>
  </authors>
  <commentList>
    <comment ref="E115" authorId="0" shapeId="0" xr:uid="{83FA013A-6E46-4496-8D88-55303D994119}">
      <text>
        <r>
          <rPr>
            <b/>
            <sz val="9"/>
            <color indexed="81"/>
            <rFont val="Tahoma"/>
            <family val="2"/>
          </rPr>
          <t>Muller, Pierre:</t>
        </r>
        <r>
          <rPr>
            <sz val="9"/>
            <color indexed="81"/>
            <rFont val="Tahoma"/>
            <family val="2"/>
          </rPr>
          <t xml:space="preserve">
Cheque envoyé à la perm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Muller, Pierre</author>
  </authors>
  <commentList>
    <comment ref="D4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Muller, Pierre:</t>
        </r>
        <r>
          <rPr>
            <sz val="9"/>
            <color indexed="81"/>
            <rFont val="Tahoma"/>
            <family val="2"/>
          </rPr>
          <t xml:space="preserve">
Voir liste déroulante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tc={B740094D-6688-49EF-AADC-654365C83AAB}</author>
  </authors>
  <commentList>
    <comment ref="F33" authorId="0" shapeId="0" xr:uid="{B740094D-6688-49EF-AADC-654365C83AAB}">
      <text>
        <t>[Threaded comment]
Your version of Excel allows you to read this threaded comment; however, any edits to it will get removed if the file is opened in a newer version of Excel. Learn more: https://go.microsoft.com/fwlink/?linkid=870924
Comment:
    deux véhicules à 60€/j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<sst xmlns="http://schemas.openxmlformats.org/spreadsheetml/2006/main" count="3287" uniqueCount="852">
  <si>
    <t xml:space="preserve">ECLAIREUSES ECLAIREURS DE France </t>
  </si>
  <si>
    <t>BUDGET PREVISIONNEL</t>
  </si>
  <si>
    <t>Structure EEDF :</t>
  </si>
  <si>
    <t>TOTAL</t>
  </si>
  <si>
    <t>RESULTAT PREVISIONNEL V1</t>
  </si>
  <si>
    <t>RESULTAT REEL</t>
  </si>
  <si>
    <t>Prévisionnel VS réel</t>
  </si>
  <si>
    <t>PROJECTION 31/12</t>
  </si>
  <si>
    <t>ACTIVITES</t>
  </si>
  <si>
    <t>DEPENSES V1</t>
  </si>
  <si>
    <t>PRODUITS V1</t>
  </si>
  <si>
    <t>DEPENSES REELLES</t>
  </si>
  <si>
    <t>PRODUITS REELS</t>
  </si>
  <si>
    <t>VIE INSTITUTIONNELLE</t>
  </si>
  <si>
    <t>Assemblée Générale</t>
  </si>
  <si>
    <t>Conseil National</t>
  </si>
  <si>
    <t>Comité régional</t>
  </si>
  <si>
    <t>Congrès régional</t>
  </si>
  <si>
    <t>Equipe régionale</t>
  </si>
  <si>
    <t>Sous-total</t>
  </si>
  <si>
    <t>ACTIONS REGIONALES</t>
  </si>
  <si>
    <t>Formations des bénévoles (hors BAFA-BAFD)</t>
  </si>
  <si>
    <t>Formations des salariés</t>
  </si>
  <si>
    <t>Formations des services civiques</t>
  </si>
  <si>
    <t>Mini-séjours et rassemblements régionaux</t>
  </si>
  <si>
    <t>Rassemblements nationaux</t>
  </si>
  <si>
    <t>ACTIVITES OUVERTES</t>
  </si>
  <si>
    <t>Formations BAFA-BAFD</t>
  </si>
  <si>
    <t>Croq'nature</t>
  </si>
  <si>
    <t>Séjours ouverts</t>
  </si>
  <si>
    <t>Séjours adaptés</t>
  </si>
  <si>
    <t>Ecole</t>
  </si>
  <si>
    <t>Autres activités</t>
  </si>
  <si>
    <t>AUTRES
 COÛTS</t>
  </si>
  <si>
    <t>Fonctionnement (charges et produits indirects)</t>
  </si>
  <si>
    <t>Subventions</t>
  </si>
  <si>
    <t>ACCUEILS CENTRES</t>
  </si>
  <si>
    <t>Accueil gestion complète en dur</t>
  </si>
  <si>
    <t>Accueil gestion libre en dur</t>
  </si>
  <si>
    <t>Accueil  gestion complète plein air</t>
  </si>
  <si>
    <t>Accueil gestion libre plein air</t>
  </si>
  <si>
    <t>Total Région</t>
  </si>
  <si>
    <t>SLA</t>
  </si>
  <si>
    <t>Total Région intégrée = Région + SLA</t>
  </si>
  <si>
    <t xml:space="preserve">VERSION 1 </t>
  </si>
  <si>
    <t xml:space="preserve">VERSION 2 </t>
  </si>
  <si>
    <t>DETAILS DES PRODUITS</t>
  </si>
  <si>
    <t>Comité Régional</t>
  </si>
  <si>
    <t>Formations des bénévoles (Hors BAFA - BAFD)</t>
  </si>
  <si>
    <t>Gestion immobilière</t>
  </si>
  <si>
    <t>Accueil gestion libe en dur</t>
  </si>
  <si>
    <t>Accueil gestion complète plein air</t>
  </si>
  <si>
    <t>Ventes de produits et prestations</t>
  </si>
  <si>
    <t>Participation aux camps, activités</t>
  </si>
  <si>
    <t>Participation aux camps, activités EEDF</t>
  </si>
  <si>
    <t>Prestations de service CAF</t>
  </si>
  <si>
    <t>Vente de marchandises</t>
  </si>
  <si>
    <t>Vente de marchandises aux EEDF</t>
  </si>
  <si>
    <t>Locations immobilières &amp; mobilières</t>
  </si>
  <si>
    <t>Locations immobilières &amp; mobilières EEDF</t>
  </si>
  <si>
    <t>Produits activités annexes</t>
  </si>
  <si>
    <t>Produits activités annexes EEDF</t>
  </si>
  <si>
    <t>Subventions Nationales</t>
  </si>
  <si>
    <t>Subventions régionales</t>
  </si>
  <si>
    <t>Subventions départementales</t>
  </si>
  <si>
    <t>Subventions communales</t>
  </si>
  <si>
    <t>Subventions aides à l'emploi (CNASEA/ASP…)</t>
  </si>
  <si>
    <t>Subventions Reversées par EEDF (Fonjep)</t>
  </si>
  <si>
    <t>Subventions organismes publiques (CAF…)</t>
  </si>
  <si>
    <t>subventions orgnismes privés</t>
  </si>
  <si>
    <t>Fonds européens</t>
  </si>
  <si>
    <t>Produits de gestion courante</t>
  </si>
  <si>
    <t>Dons reçus</t>
  </si>
  <si>
    <t>Dons reversés par le siège national</t>
  </si>
  <si>
    <t>Cotisations des adhérents</t>
  </si>
  <si>
    <t>Autres produits de gestion courante</t>
  </si>
  <si>
    <t>Aides, bourses par EEDF</t>
  </si>
  <si>
    <t>structures fermées</t>
  </si>
  <si>
    <t>Contribution nationale EEDF</t>
  </si>
  <si>
    <t>Produits financiers</t>
  </si>
  <si>
    <t>Produits exceptionnels</t>
  </si>
  <si>
    <t>Produits exceptionnels sur ex. antérieur</t>
  </si>
  <si>
    <t>Prix vente des immobilisations sorties</t>
  </si>
  <si>
    <t>Quote-part de subvention d'investissement</t>
  </si>
  <si>
    <t>Reprise de provisions</t>
  </si>
  <si>
    <t>Transfert de charges d'exploitation</t>
  </si>
  <si>
    <t>TOTAL DES PRODUITS</t>
  </si>
  <si>
    <t>Note de synthèse accompagnant le budget 2023</t>
  </si>
  <si>
    <t>1. Contexte</t>
  </si>
  <si>
    <t>[Rappel des caractéristiques de l’entité, type nombre d’adhérents, type d’activités, partenariats, etc.]</t>
  </si>
  <si>
    <t>[Rappel des faits marquants dans l’histoire récente de l’unité, type renouvellement des élus, problèmes rencontrés sur un séjour, projets lancés récemment ]</t>
  </si>
  <si>
    <t>[Le cas échéant relations avec les collectivités locales du territoire ]</t>
  </si>
  <si>
    <t>2. Principales initiatives et actions prévues</t>
  </si>
  <si>
    <t>[Décrire ici les actions pédagogiques nouvelles, les nouveaux projets, les démarches de prospection, etc.]</t>
  </si>
  <si>
    <t>[Indiquer s’il est prévu d’arrêter certaines activités ou actions, ou de ne les maintenir que si un nombre minimum de participants est inscrit à temps]</t>
  </si>
  <si>
    <t>[Décrire aussi les initiatives prévues en matière de gestion, et d’économie de frais de fonctionnement]</t>
  </si>
  <si>
    <t xml:space="preserve">3. Hypothèses économiques sur lequel est construit le budget </t>
  </si>
  <si>
    <t>[Lister et commenter les principaux écarts Projection / Budget, notamment sur :</t>
  </si>
  <si>
    <t xml:space="preserve"> -&gt; Volumes d’activité/fréquentation par catégories (lutins, louveteaux, etc. ; activité pendant l’année, Séjours, formation…)</t>
  </si>
  <si>
    <t xml:space="preserve"> -&gt; Charges variables d'activités</t>
  </si>
  <si>
    <t xml:space="preserve"> -&gt; Frais de fonctionnement</t>
  </si>
  <si>
    <t xml:space="preserve"> -&gt; Masse salariale</t>
  </si>
  <si>
    <t xml:space="preserve"> -&gt; Subventions</t>
  </si>
  <si>
    <t>Total Séjours ouverts</t>
  </si>
  <si>
    <t>dépense</t>
  </si>
  <si>
    <t>recettes</t>
  </si>
  <si>
    <t>Achats denrées alimentaires</t>
  </si>
  <si>
    <t>Petites fournitures et petit matériel</t>
  </si>
  <si>
    <t>Carburants</t>
  </si>
  <si>
    <t>Locations terrains et centres EEDF</t>
  </si>
  <si>
    <t>Produits pharmaceutiques</t>
  </si>
  <si>
    <t>Publication et promotion</t>
  </si>
  <si>
    <t>Salaires bruts</t>
  </si>
  <si>
    <t>VERSION 1</t>
  </si>
  <si>
    <t>DETAILS DES CHARGES</t>
  </si>
  <si>
    <t>Achats</t>
  </si>
  <si>
    <t>Prestations éducatives</t>
  </si>
  <si>
    <t>Prestations éducatives EEDF</t>
  </si>
  <si>
    <t>Eau, gaz, électricité, combustible</t>
  </si>
  <si>
    <t>Fournitures administratives</t>
  </si>
  <si>
    <t>Fournitures éducatives et pédagogiques</t>
  </si>
  <si>
    <t>Achat de marchandises pour la revente</t>
  </si>
  <si>
    <t>Achat de marchandises à EEDF pour revente</t>
  </si>
  <si>
    <t>Services extérieurs</t>
  </si>
  <si>
    <t>Locations immobilières</t>
  </si>
  <si>
    <t xml:space="preserve"> </t>
  </si>
  <si>
    <t>Autres locations (matériel, véhicules)</t>
  </si>
  <si>
    <t>Location mobilères à EEDF</t>
  </si>
  <si>
    <t xml:space="preserve">Charges locatives et de copropriété </t>
  </si>
  <si>
    <t>Entretien et réparations</t>
  </si>
  <si>
    <t>Primes d'assurance</t>
  </si>
  <si>
    <t>Frais de formations extérieures</t>
  </si>
  <si>
    <t>Frais de formation EEDF</t>
  </si>
  <si>
    <t>Documentation</t>
  </si>
  <si>
    <t>Autres services extérieurs</t>
  </si>
  <si>
    <t>Honoraires</t>
  </si>
  <si>
    <t>Publication et promotion à EEDF</t>
  </si>
  <si>
    <t>Transport des participants</t>
  </si>
  <si>
    <t>Trpt et déplac;, missions, réceptions</t>
  </si>
  <si>
    <t>Affranchissement, téléphone et internet</t>
  </si>
  <si>
    <t>Services bancaires</t>
  </si>
  <si>
    <t>Cotisations autres associations</t>
  </si>
  <si>
    <t>Impôts et taxes</t>
  </si>
  <si>
    <t>Impôts divers</t>
  </si>
  <si>
    <t>Charges de personnel</t>
  </si>
  <si>
    <t>Charges Sociales</t>
  </si>
  <si>
    <t>autres charges (médecine du travail, DPCE)</t>
  </si>
  <si>
    <t>Charges de gestion courante</t>
  </si>
  <si>
    <t>Cotisations payées au siège</t>
  </si>
  <si>
    <t>Autres cotisations payées aux EEDF</t>
  </si>
  <si>
    <t>reversements de dons à EEDF</t>
  </si>
  <si>
    <t>Indemnités services civiques EEDF</t>
  </si>
  <si>
    <t>Charges diverses</t>
  </si>
  <si>
    <t>Aides versées aux structures EEDF</t>
  </si>
  <si>
    <t>Charges financières</t>
  </si>
  <si>
    <t>Charges exceptionnelles</t>
  </si>
  <si>
    <t>Pénalités et amendes</t>
  </si>
  <si>
    <t>charges exceptionnelles</t>
  </si>
  <si>
    <t>valeur comptable actif sorti</t>
  </si>
  <si>
    <t>Amortissements</t>
  </si>
  <si>
    <t>Dotation aux amortissements</t>
  </si>
  <si>
    <t>Dotation aux provisions</t>
  </si>
  <si>
    <t xml:space="preserve">TOTAL DES CHARGES </t>
  </si>
  <si>
    <t>PERMANENCE</t>
  </si>
  <si>
    <t>Loyer :</t>
  </si>
  <si>
    <t>360 € par mois</t>
  </si>
  <si>
    <t>Subvention loyer</t>
  </si>
  <si>
    <t>MAIF  :</t>
  </si>
  <si>
    <t>CAMION :</t>
  </si>
  <si>
    <t>Location</t>
  </si>
  <si>
    <t>Réparations :</t>
  </si>
  <si>
    <t>AUTRE :</t>
  </si>
  <si>
    <t>CB</t>
  </si>
  <si>
    <t>Matériel</t>
  </si>
  <si>
    <t>Tel</t>
  </si>
  <si>
    <t>ASSOCIATIF :</t>
  </si>
  <si>
    <t>Adhésion</t>
  </si>
  <si>
    <t>MS AD Siège</t>
  </si>
  <si>
    <t>Refacturation AD Siege</t>
  </si>
  <si>
    <t>CHARGE</t>
  </si>
  <si>
    <t>PRODUIT</t>
  </si>
  <si>
    <t>Résultat</t>
  </si>
  <si>
    <t>BUDGET  PREVISIONNEL -propal 2 (hors Transport)</t>
  </si>
  <si>
    <t>Sous réserves d'erreurs: merci de les signaler si nécessaire</t>
  </si>
  <si>
    <t>Intitulé de séjour</t>
  </si>
  <si>
    <t>Petit bivouac</t>
  </si>
  <si>
    <t>Encadrants</t>
  </si>
  <si>
    <t>Enfants &amp; Jeunes</t>
  </si>
  <si>
    <t>Organisateur</t>
  </si>
  <si>
    <t>Lutins</t>
  </si>
  <si>
    <t>ratio effectif</t>
  </si>
  <si>
    <t>Prix de séjour (1er enfant)</t>
  </si>
  <si>
    <t>65% des jeunes</t>
  </si>
  <si>
    <t>Louveteaux</t>
  </si>
  <si>
    <t>Prix de séjour (Enfants suivants)</t>
  </si>
  <si>
    <t>35% des jeunes</t>
  </si>
  <si>
    <t xml:space="preserve">Eclés </t>
  </si>
  <si>
    <t>Eclés</t>
  </si>
  <si>
    <t>Date début</t>
  </si>
  <si>
    <t>Aînés</t>
  </si>
  <si>
    <t>pas d'ainés a petit bivouac</t>
  </si>
  <si>
    <t>Date fin</t>
  </si>
  <si>
    <t>Commun</t>
  </si>
  <si>
    <t>Nbr de jours</t>
  </si>
  <si>
    <t>Nbr de part.</t>
  </si>
  <si>
    <t>Journées</t>
  </si>
  <si>
    <t>PREVISIONNEL</t>
  </si>
  <si>
    <t>Réel</t>
  </si>
  <si>
    <t>Nbr J</t>
  </si>
  <si>
    <t>Nbr P</t>
  </si>
  <si>
    <t>Prix</t>
  </si>
  <si>
    <t>Total</t>
  </si>
  <si>
    <t>Delta</t>
  </si>
  <si>
    <t>A  GERER  PAR  LES  DIRECTEURS</t>
  </si>
  <si>
    <t>cpt60 - Achat</t>
  </si>
  <si>
    <t>Alimentation</t>
  </si>
  <si>
    <t>Entretien</t>
  </si>
  <si>
    <t>Matériel éducatif</t>
  </si>
  <si>
    <t>Matériel général</t>
  </si>
  <si>
    <t>Déplacement</t>
  </si>
  <si>
    <t>Activités éducatives</t>
  </si>
  <si>
    <t>Pharmacie</t>
  </si>
  <si>
    <t>TOTAL BP Direction</t>
  </si>
  <si>
    <t>A  GERER  PAR  L'ORGANISATEUR</t>
  </si>
  <si>
    <t>C H A R G E S     P R O P R E S     A U     S E J O U R</t>
  </si>
  <si>
    <t>cpt61 - Services extérieurs</t>
  </si>
  <si>
    <t>Location (hébergement)</t>
  </si>
  <si>
    <t>Location (autres)</t>
  </si>
  <si>
    <t>Formation</t>
  </si>
  <si>
    <t>Assurance</t>
  </si>
  <si>
    <t>TOTAL BP Organisateur - cpt61</t>
  </si>
  <si>
    <t>cpt62 - Autres services</t>
  </si>
  <si>
    <t>Publicité</t>
  </si>
  <si>
    <t>Transport (équipe)</t>
  </si>
  <si>
    <t>Transport (participants lutins/loups)</t>
  </si>
  <si>
    <t>Transport (participants éclés/aînés)</t>
  </si>
  <si>
    <t>TOTAL BP Organisateur - cpt62</t>
  </si>
  <si>
    <t>cpt65 - Charges de gestion courante</t>
  </si>
  <si>
    <t>Contribution (10% des produits)</t>
  </si>
  <si>
    <t>TOTAL BP Organisateur - cpt65</t>
  </si>
  <si>
    <t>TOTAL DES CHARGES</t>
  </si>
  <si>
    <t>Dont BP organisateur</t>
  </si>
  <si>
    <t>Dont BP directeur</t>
  </si>
  <si>
    <t>Dont participation parents</t>
  </si>
  <si>
    <t>Dont participation régionale</t>
  </si>
  <si>
    <t>RESULTAT</t>
  </si>
  <si>
    <t>BUDGET  PREVISIONNEL  -propal 1</t>
  </si>
  <si>
    <t>1er enfant :</t>
  </si>
  <si>
    <t>Enfants suivants :</t>
  </si>
  <si>
    <t>Tranche</t>
  </si>
  <si>
    <t>Prix Grand Bivouac</t>
  </si>
  <si>
    <t>Prix Petit Bivouac</t>
  </si>
  <si>
    <t>Prix incluant :</t>
  </si>
  <si>
    <t>T1</t>
  </si>
  <si>
    <t>l'alimentaire, le logement (y compris en itinérence), le déplacement du groupe vers le petit bivouac pour les lutins/lvx, la contribution, le transport vers Grand Bivouac, le Grand Bivouac</t>
  </si>
  <si>
    <t>T2</t>
  </si>
  <si>
    <t>T3</t>
  </si>
  <si>
    <t>T4</t>
  </si>
  <si>
    <t>T5</t>
  </si>
  <si>
    <t>Prix n'incluant PAS:</t>
  </si>
  <si>
    <t>l'équipement des groupes, le déplacement retour (selon où passera le bus), la participation à la formation des animateurs. Les forfaits de participation des responsables sur le Grand Bivouac</t>
  </si>
  <si>
    <t>moyenne</t>
  </si>
  <si>
    <t>SI TRANSPORT EXCLUS :</t>
  </si>
  <si>
    <t>l'alimentaire, le logement (y compris en itinérence), la contribution, le transport vers Grand Bivouac, le Grand Bivouac</t>
  </si>
  <si>
    <t>l'équipement des groupes, le déplacement, la participation à la formation des animateurs. Les forfaits de participation des responsables sur le Grand Bivouac</t>
  </si>
  <si>
    <t>Groupes</t>
  </si>
  <si>
    <t>Enfants</t>
  </si>
  <si>
    <t>Respons</t>
  </si>
  <si>
    <t>Metz</t>
  </si>
  <si>
    <t>Nancy</t>
  </si>
  <si>
    <t>Freyming</t>
  </si>
  <si>
    <t>incl. ainés</t>
  </si>
  <si>
    <t>Plappeville</t>
  </si>
  <si>
    <t>pas de lutins</t>
  </si>
  <si>
    <t>Mulhouse</t>
  </si>
  <si>
    <t>Strasbourg</t>
  </si>
  <si>
    <t>que lutins/lvx</t>
  </si>
  <si>
    <t>Vigy</t>
  </si>
  <si>
    <t>a confirmer. pas de lutins</t>
  </si>
  <si>
    <t>Charleville</t>
  </si>
  <si>
    <t>Lessy</t>
  </si>
  <si>
    <t>a confirmer</t>
  </si>
  <si>
    <t>Sans orga</t>
  </si>
  <si>
    <t>GRAND EST</t>
  </si>
  <si>
    <t>METZ</t>
  </si>
  <si>
    <t>age max 14</t>
  </si>
  <si>
    <t>age max 11</t>
  </si>
  <si>
    <t>potentiels :</t>
  </si>
  <si>
    <t>TOTAL à générer</t>
  </si>
  <si>
    <t>eur</t>
  </si>
  <si>
    <t xml:space="preserve">pour </t>
  </si>
  <si>
    <t>enfants</t>
  </si>
  <si>
    <t xml:space="preserve">soit </t>
  </si>
  <si>
    <t>€/enfants en moyenne</t>
  </si>
  <si>
    <t>respons</t>
  </si>
  <si>
    <t>Sur base de la répartition 2024 :</t>
  </si>
  <si>
    <t>Différence</t>
  </si>
  <si>
    <t>Nb enfants</t>
  </si>
  <si>
    <t>pourcentage</t>
  </si>
  <si>
    <t>Nb de part.</t>
  </si>
  <si>
    <t>décotte</t>
  </si>
  <si>
    <t>Prix par jeunes</t>
  </si>
  <si>
    <t>Gain total</t>
  </si>
  <si>
    <t>Delta plus grand/plus petit :</t>
  </si>
  <si>
    <t>SOLDE</t>
  </si>
  <si>
    <t>soit</t>
  </si>
  <si>
    <t>du tarif moyen</t>
  </si>
  <si>
    <t>Proposition de BP à faire valider</t>
  </si>
  <si>
    <t>Compte de résultat</t>
  </si>
  <si>
    <t>Prévisionnel</t>
  </si>
  <si>
    <t>n° de</t>
  </si>
  <si>
    <t>CHARGES</t>
  </si>
  <si>
    <t>BP</t>
  </si>
  <si>
    <t>Prev.</t>
  </si>
  <si>
    <t>PRODUITS</t>
  </si>
  <si>
    <t>compte</t>
  </si>
  <si>
    <t>Emp des contr volontaires en nature</t>
  </si>
  <si>
    <t>Contribution volontaire en nature</t>
  </si>
  <si>
    <t>Encadrement bénévole</t>
  </si>
  <si>
    <t>Résultat excédent. de l'exercice</t>
  </si>
  <si>
    <t>Résultat déficit. de l'exercice</t>
  </si>
  <si>
    <t>TOTAL GENERAL</t>
  </si>
  <si>
    <t>CONTRIBUTION 2026 :</t>
  </si>
  <si>
    <t>Résultat retraité de la contribution</t>
  </si>
  <si>
    <t>Exercice</t>
  </si>
  <si>
    <t>Considérant les retraîtements</t>
  </si>
  <si>
    <t>Row Labels</t>
  </si>
  <si>
    <t>Sum of Montant</t>
  </si>
  <si>
    <t>Activité Guebwiller</t>
  </si>
  <si>
    <t>A reverser</t>
  </si>
  <si>
    <t>NON</t>
  </si>
  <si>
    <t>Activité SLA</t>
  </si>
  <si>
    <t>BAFA Base avril</t>
  </si>
  <si>
    <t>Camion</t>
  </si>
  <si>
    <t>Congrès</t>
  </si>
  <si>
    <t>Fonctionnement</t>
  </si>
  <si>
    <t>MS AD</t>
  </si>
  <si>
    <t>RIR</t>
  </si>
  <si>
    <t>Tremplin camp</t>
  </si>
  <si>
    <t>visite camps</t>
  </si>
  <si>
    <t>Permanence</t>
  </si>
  <si>
    <t>Grand Total</t>
  </si>
  <si>
    <t>Total 2024</t>
  </si>
  <si>
    <t>Contribution 2024</t>
  </si>
  <si>
    <t>N°</t>
  </si>
  <si>
    <t>Date</t>
  </si>
  <si>
    <t>Compte/caisse/CHQ</t>
  </si>
  <si>
    <t>Montant</t>
  </si>
  <si>
    <t>Tiers</t>
  </si>
  <si>
    <t>Description</t>
  </si>
  <si>
    <t>Analytique 0</t>
  </si>
  <si>
    <t>Analytique 1</t>
  </si>
  <si>
    <t>projet</t>
  </si>
  <si>
    <t>Détail</t>
  </si>
  <si>
    <t>Compta</t>
  </si>
  <si>
    <t>Produits</t>
  </si>
  <si>
    <t>Charges</t>
  </si>
  <si>
    <t>Column1</t>
  </si>
  <si>
    <t>Colonne1</t>
  </si>
  <si>
    <t>Adhésion COJEP</t>
  </si>
  <si>
    <t>Frais généraux</t>
  </si>
  <si>
    <t>Adhésion autres association</t>
  </si>
  <si>
    <t>Adhésions</t>
  </si>
  <si>
    <t>Frais associatifs</t>
  </si>
  <si>
    <t>Alimentaire</t>
  </si>
  <si>
    <t>Pédagogie</t>
  </si>
  <si>
    <t>Formations</t>
  </si>
  <si>
    <t>10€/j sur 6 j à 25 pers</t>
  </si>
  <si>
    <t>Tremplin année - octobre</t>
  </si>
  <si>
    <t>Tremplin camp - Avril</t>
  </si>
  <si>
    <t>Vie de la région</t>
  </si>
  <si>
    <t>Vie associative</t>
  </si>
  <si>
    <t>Alimentaire rencontre ER</t>
  </si>
  <si>
    <t>Petit Bivouac</t>
  </si>
  <si>
    <t>Petit Bivouac - Camp 1</t>
  </si>
  <si>
    <t>Petit Bivouac - Camp 2</t>
  </si>
  <si>
    <t>BAFA Appro octobre</t>
  </si>
  <si>
    <t>Véhicules</t>
  </si>
  <si>
    <t>Véhicule Golbey</t>
  </si>
  <si>
    <t>Autre</t>
  </si>
  <si>
    <t>Entretien divers</t>
  </si>
  <si>
    <t>Bourse régionale</t>
  </si>
  <si>
    <t>Cotisation CB</t>
  </si>
  <si>
    <t>Banque</t>
  </si>
  <si>
    <t>Hébergement</t>
  </si>
  <si>
    <t>Location immo.</t>
  </si>
  <si>
    <t>Participation activité</t>
  </si>
  <si>
    <t>Participation stagiaire</t>
  </si>
  <si>
    <t>13 stagiaires</t>
  </si>
  <si>
    <t>14 stagiaires</t>
  </si>
  <si>
    <t>Péda</t>
  </si>
  <si>
    <t>Petit Matériel</t>
  </si>
  <si>
    <t>Subvention</t>
  </si>
  <si>
    <t>Transport</t>
  </si>
  <si>
    <t>Carburant</t>
  </si>
  <si>
    <t>Non</t>
  </si>
  <si>
    <t>Activités des SLA</t>
  </si>
  <si>
    <t>Suivi groupes et visites</t>
  </si>
  <si>
    <t>Sum of Produits</t>
  </si>
  <si>
    <t>Sum of Charges</t>
  </si>
  <si>
    <t>Aide au groupe</t>
  </si>
  <si>
    <t>Camp ouvert</t>
  </si>
  <si>
    <t>Adhésions enfants</t>
  </si>
  <si>
    <t>Essence</t>
  </si>
  <si>
    <t>Foulards</t>
  </si>
  <si>
    <t>Participation camp</t>
  </si>
  <si>
    <t>Produit annexe</t>
  </si>
  <si>
    <t>Salaire</t>
  </si>
  <si>
    <t>Facturation de la masse salariale des AD 2023-24</t>
  </si>
  <si>
    <t>Carburant camping car</t>
  </si>
  <si>
    <t>Loc camping car</t>
  </si>
  <si>
    <t>Participation</t>
  </si>
  <si>
    <t>Petit matériel / Entretien</t>
  </si>
  <si>
    <t>Aide interne</t>
  </si>
  <si>
    <t>Déplacement AG</t>
  </si>
  <si>
    <t>Participation AG</t>
  </si>
  <si>
    <t>CN</t>
  </si>
  <si>
    <t>Participation CN</t>
  </si>
  <si>
    <t>Frais de récupération</t>
  </si>
  <si>
    <t>A confirmer ? Acte 129298 conseil municipal metz</t>
  </si>
  <si>
    <t>Contribution 2023</t>
  </si>
  <si>
    <t>Téléphonie</t>
  </si>
  <si>
    <t>Forfait tel</t>
  </si>
  <si>
    <t xml:space="preserve">Solde au </t>
  </si>
  <si>
    <t>Date du jour</t>
  </si>
  <si>
    <t>Retard</t>
  </si>
  <si>
    <t>Mouvements internes</t>
  </si>
  <si>
    <t>Solde réel</t>
  </si>
  <si>
    <t>Solde calculé</t>
  </si>
  <si>
    <t>Check</t>
  </si>
  <si>
    <t>BRED :</t>
  </si>
  <si>
    <t>au 01/01/24</t>
  </si>
  <si>
    <t>Var</t>
  </si>
  <si>
    <t>Moselle</t>
  </si>
  <si>
    <t>BRED-Moselle</t>
  </si>
  <si>
    <t>Lorraine-Alsace</t>
  </si>
  <si>
    <t>BRED - LA</t>
  </si>
  <si>
    <t>CAISSE</t>
  </si>
  <si>
    <t>Liquide</t>
  </si>
  <si>
    <t>AUTRES</t>
  </si>
  <si>
    <t>Cheque non encaissés</t>
  </si>
  <si>
    <t>Paiement à faire</t>
  </si>
  <si>
    <t>Non payé-F en attente</t>
  </si>
  <si>
    <t>Non payé-Facture reçue</t>
  </si>
  <si>
    <t>Factures à payer - Clients</t>
  </si>
  <si>
    <t>Non payé-Facture émise</t>
  </si>
  <si>
    <t>Non payé-Facture à émettre</t>
  </si>
  <si>
    <t>LA</t>
  </si>
  <si>
    <t>A récupérer</t>
  </si>
  <si>
    <t>Total reversement</t>
  </si>
  <si>
    <t>DISPO</t>
  </si>
  <si>
    <t>Strasbourg :</t>
  </si>
  <si>
    <t>Thionville</t>
  </si>
  <si>
    <t>Valentina</t>
  </si>
  <si>
    <t>Antho</t>
  </si>
  <si>
    <t>Type</t>
  </si>
  <si>
    <t>BAFA Appro - Oct.</t>
  </si>
  <si>
    <t>Assurance  camion</t>
  </si>
  <si>
    <t>Réparations</t>
  </si>
  <si>
    <t>Locations</t>
  </si>
  <si>
    <t>Matériels divers</t>
  </si>
  <si>
    <t>Loyers perm</t>
  </si>
  <si>
    <t>Assurance perm</t>
  </si>
  <si>
    <t>FDVA 1</t>
  </si>
  <si>
    <t>Camps ouverts</t>
  </si>
  <si>
    <t xml:space="preserve">ANALYTIQUE </t>
  </si>
  <si>
    <t>Date de réalisation - Début :</t>
  </si>
  <si>
    <t>PROJET</t>
  </si>
  <si>
    <t>Date de réalisation - Fin :</t>
  </si>
  <si>
    <t>Nombre de participants :</t>
  </si>
  <si>
    <t>Prévisionnel :</t>
  </si>
  <si>
    <t>Réel :</t>
  </si>
  <si>
    <t>Produits :</t>
  </si>
  <si>
    <t>Prix unitaire :</t>
  </si>
  <si>
    <t xml:space="preserve">Nombre </t>
  </si>
  <si>
    <t>Participation :</t>
  </si>
  <si>
    <t>Facturation interne</t>
  </si>
  <si>
    <t>Facturation externe / familles</t>
  </si>
  <si>
    <t>Cotisation</t>
  </si>
  <si>
    <t>Autres produits EEDF</t>
  </si>
  <si>
    <t>Autres produits</t>
  </si>
  <si>
    <t>Communales</t>
  </si>
  <si>
    <t>Nationales</t>
  </si>
  <si>
    <t>Autres</t>
  </si>
  <si>
    <t>Transferts de charges</t>
  </si>
  <si>
    <t xml:space="preserve">Notes sur les produits : </t>
  </si>
  <si>
    <t>Charges :</t>
  </si>
  <si>
    <t>Dépenses générales</t>
  </si>
  <si>
    <t>Divers</t>
  </si>
  <si>
    <t>Dépenses organisationnelles</t>
  </si>
  <si>
    <t>Loyers</t>
  </si>
  <si>
    <t>Frais bancaires</t>
  </si>
  <si>
    <t>Frais postaux et tel.</t>
  </si>
  <si>
    <t>Cotisations</t>
  </si>
  <si>
    <t>Salaires</t>
  </si>
  <si>
    <t xml:space="preserve">TOTAL </t>
  </si>
  <si>
    <t>Commentaire :</t>
  </si>
  <si>
    <t>Impyé</t>
  </si>
  <si>
    <t>PERM</t>
  </si>
  <si>
    <t>rectif</t>
  </si>
  <si>
    <t>cotisation</t>
  </si>
  <si>
    <t>Bon pasteur</t>
  </si>
  <si>
    <t>CAMION</t>
  </si>
  <si>
    <t>Cotisation diverse</t>
  </si>
  <si>
    <t>Guebwiller</t>
  </si>
  <si>
    <t>GUEBWILLER</t>
  </si>
  <si>
    <t>Étiquettes de lignes</t>
  </si>
  <si>
    <t>Nombre de Numéro</t>
  </si>
  <si>
    <t>Août</t>
  </si>
  <si>
    <t>Novembre</t>
  </si>
  <si>
    <t>FREYMING MERLEBACH-St F. d' A</t>
  </si>
  <si>
    <t>GOLBEY</t>
  </si>
  <si>
    <t>GRAND NANCY</t>
  </si>
  <si>
    <t>GUEBWILLER - SCOUTS DU FLORIVAL</t>
  </si>
  <si>
    <t>JEAN MOULIN - LESSY</t>
  </si>
  <si>
    <t>METZ VISA  - AVENTURES</t>
  </si>
  <si>
    <t>MULHOUSE</t>
  </si>
  <si>
    <t>PLAPPEVILLE</t>
  </si>
  <si>
    <t>SAINTE SAVINE</t>
  </si>
  <si>
    <t>ST JEAN DE BONNEVAL</t>
  </si>
  <si>
    <t>STRASBOURG</t>
  </si>
  <si>
    <t>TROYES - CASATI</t>
  </si>
  <si>
    <t>VIGY</t>
  </si>
  <si>
    <t>(vide)</t>
  </si>
  <si>
    <t>Total général</t>
  </si>
  <si>
    <t>BUDGET  PREVISIONNEL</t>
  </si>
  <si>
    <t>ER</t>
  </si>
  <si>
    <t>Directeur</t>
  </si>
  <si>
    <t xml:space="preserve">Directeur </t>
  </si>
  <si>
    <t>Formateur</t>
  </si>
  <si>
    <t>Prix de séjour</t>
  </si>
  <si>
    <t>Cuisinier</t>
  </si>
  <si>
    <t>A  GERER  PAR  LE  DIRECTEUR</t>
  </si>
  <si>
    <t>Batiment</t>
  </si>
  <si>
    <t>TOTAL CHARGES PROPRES AU SEJOUR</t>
  </si>
  <si>
    <t>C H A R G E S     A     R E P A R T I R</t>
  </si>
  <si>
    <t>Fonction EEDF</t>
  </si>
  <si>
    <t>TOTAL CHARGES A REPARTIR</t>
  </si>
  <si>
    <t>PREVISIONNELL</t>
  </si>
  <si>
    <t>SUBVENTION</t>
  </si>
  <si>
    <t>Séjour été 1 s</t>
  </si>
  <si>
    <t>Adjoint</t>
  </si>
  <si>
    <t>Assistant sanitaire</t>
  </si>
  <si>
    <t>Anim. tech</t>
  </si>
  <si>
    <t>Animateur</t>
  </si>
  <si>
    <t>HEBERGEMENT</t>
  </si>
  <si>
    <t>Loyer Varia</t>
  </si>
  <si>
    <t>Loyer Fixe</t>
  </si>
  <si>
    <t>Charge</t>
  </si>
  <si>
    <t>TRANSPORT</t>
  </si>
  <si>
    <t>Voiture</t>
  </si>
  <si>
    <t>Avion</t>
  </si>
  <si>
    <t>Train</t>
  </si>
  <si>
    <t>Bus</t>
  </si>
  <si>
    <t>INDEMNITES Permanents</t>
  </si>
  <si>
    <t>INDEMNITES Saisoniers</t>
  </si>
  <si>
    <t>Service</t>
  </si>
  <si>
    <t>Animateur tech.</t>
  </si>
  <si>
    <t>Congés payés</t>
  </si>
  <si>
    <t>Charges patronales</t>
  </si>
  <si>
    <t xml:space="preserve">Autres charges </t>
  </si>
  <si>
    <t>COTISATIONS</t>
  </si>
  <si>
    <t>Adhé. Partic.</t>
  </si>
  <si>
    <t>Adhé. Directeur</t>
  </si>
  <si>
    <t>Adhé. Anim</t>
  </si>
  <si>
    <t>Intervention</t>
  </si>
  <si>
    <t>Prép.Formation</t>
  </si>
  <si>
    <t>Convoyage</t>
  </si>
  <si>
    <t>Communication</t>
  </si>
  <si>
    <t>REEL</t>
  </si>
  <si>
    <t>Interne</t>
  </si>
  <si>
    <t>Célia</t>
  </si>
  <si>
    <t>Externe</t>
  </si>
  <si>
    <t>AVRIL</t>
  </si>
  <si>
    <t>OCTOBRE</t>
  </si>
  <si>
    <t>Horodateur</t>
  </si>
  <si>
    <t>Je m'appelle....</t>
  </si>
  <si>
    <t>Je suis du groupe de .....</t>
  </si>
  <si>
    <t>La voiture est garée....( lieu ou est garée la voiture LOL)</t>
  </si>
  <si>
    <t>Je prends le camion pour....</t>
  </si>
  <si>
    <t>Je ....</t>
  </si>
  <si>
    <t>Le compteur kilométrique est à ....</t>
  </si>
  <si>
    <t>kilométrage réalisé</t>
  </si>
  <si>
    <t>As-tu constaté une anomalie?</t>
  </si>
  <si>
    <t>Le réservoir est-a combien de barres? (0-10)</t>
  </si>
  <si>
    <t>Le réservoir est-a combien de barres?  (0-10)</t>
  </si>
  <si>
    <t>J'ai remis du carburant?</t>
  </si>
  <si>
    <t>Si OUI, combien de litres?</t>
  </si>
  <si>
    <t>Jules</t>
  </si>
  <si>
    <t>Visa</t>
  </si>
  <si>
    <t xml:space="preserve">Plapville </t>
  </si>
  <si>
    <t>Local visa</t>
  </si>
  <si>
    <t>démarre le véhicule</t>
  </si>
  <si>
    <t>Riz</t>
  </si>
  <si>
    <t xml:space="preserve">Metz visa </t>
  </si>
  <si>
    <t xml:space="preserve">Local Metz </t>
  </si>
  <si>
    <t>Aller à l’adeppa</t>
  </si>
  <si>
    <t>Plein 10</t>
  </si>
  <si>
    <t xml:space="preserve">Riz </t>
  </si>
  <si>
    <t>Metz visa</t>
  </si>
  <si>
    <t>Adeppa</t>
  </si>
  <si>
    <t>gare le véhicule</t>
  </si>
  <si>
    <t xml:space="preserve">Petite fuite provenant sûrement du toit le passager droite recevait de l’eau lors des bosses </t>
  </si>
  <si>
    <t xml:space="preserve">Visa Metz </t>
  </si>
  <si>
    <t>Local metz</t>
  </si>
  <si>
    <t>Local</t>
  </si>
  <si>
    <t>Démarrage aux câbles /froid</t>
  </si>
  <si>
    <t>OUI</t>
  </si>
  <si>
    <t>7l30</t>
  </si>
  <si>
    <t>Yann</t>
  </si>
  <si>
    <t xml:space="preserve">Garagiste </t>
  </si>
  <si>
    <t xml:space="preserve">Plappeville </t>
  </si>
  <si>
    <t>Trajet pour CT</t>
  </si>
  <si>
    <t xml:space="preserve">Célia hassdenteufel </t>
  </si>
  <si>
    <t xml:space="preserve">La région </t>
  </si>
  <si>
    <t>Récupérer les tables au centre social de Meineau à Strasbourg chez Lola</t>
  </si>
  <si>
    <t xml:space="preserve">Absence </t>
  </si>
  <si>
    <t>10/10</t>
  </si>
  <si>
    <t xml:space="preserve">Celia Hassdenteufel </t>
  </si>
  <si>
    <t>Thomas</t>
  </si>
  <si>
    <t xml:space="preserve">Région </t>
  </si>
  <si>
    <t>Camion pour rangement permance.</t>
  </si>
  <si>
    <t xml:space="preserve">Salle des fêtes plapville </t>
  </si>
  <si>
    <t xml:space="preserve">Jules </t>
  </si>
  <si>
    <t xml:space="preserve">Visa </t>
  </si>
  <si>
    <t xml:space="preserve">Sa couine quand j'appuie sur l'embrayage </t>
  </si>
  <si>
    <t>Rentrer Metz local</t>
  </si>
  <si>
    <t xml:space="preserve">Local Visa </t>
  </si>
  <si>
    <t>Frédéric Dubois</t>
  </si>
  <si>
    <t>Salle polyvalente plappeville</t>
  </si>
  <si>
    <t>Chantiers a vigy</t>
  </si>
  <si>
    <t xml:space="preserve">Lucas Laugeray-Droz </t>
  </si>
  <si>
    <t xml:space="preserve">À la salle polyvalente de Plappeville </t>
  </si>
  <si>
    <t>RAS</t>
  </si>
  <si>
    <t>Salle polyvalente</t>
  </si>
  <si>
    <t>Région</t>
  </si>
  <si>
    <t>Déplacement camion pour Quentinoise</t>
  </si>
  <si>
    <t>Perso</t>
  </si>
  <si>
    <t>5L</t>
  </si>
  <si>
    <t xml:space="preserve">Salle des fêtes de plapville </t>
  </si>
  <si>
    <t xml:space="preserve">Local visa </t>
  </si>
  <si>
    <t>Tremplin</t>
  </si>
  <si>
    <t>Au local de visa</t>
  </si>
  <si>
    <t xml:space="preserve">Aller aux tronches </t>
  </si>
  <si>
    <t>Embrayage qui grince</t>
  </si>
  <si>
    <t xml:space="preserve">Centre tronches </t>
  </si>
  <si>
    <t>Locavisa</t>
  </si>
  <si>
    <t>Ferme de souleuvre</t>
  </si>
  <si>
    <t xml:space="preserve">Ferme de souleuvre </t>
  </si>
  <si>
    <t>Ferme de la souleuvre</t>
  </si>
  <si>
    <t>Celia</t>
  </si>
  <si>
    <t>Local’metz</t>
  </si>
  <si>
    <t xml:space="preserve">Retour Plapp </t>
  </si>
  <si>
    <t xml:space="preserve">Celia </t>
  </si>
  <si>
    <t>Plapp salle po</t>
  </si>
  <si>
    <t>11,23L</t>
  </si>
  <si>
    <t>APL</t>
  </si>
  <si>
    <t xml:space="preserve">Marche de Plappeville </t>
  </si>
  <si>
    <t>Pierre muller</t>
  </si>
  <si>
    <t>Tronches</t>
  </si>
  <si>
    <t xml:space="preserve">Salle des fêtes Plappeville </t>
  </si>
  <si>
    <t>Ras</t>
  </si>
  <si>
    <t>10 - Plein</t>
  </si>
  <si>
    <t>Analytique</t>
  </si>
  <si>
    <t>Début</t>
  </si>
  <si>
    <t>Fin</t>
  </si>
  <si>
    <t>commentaires produits</t>
  </si>
  <si>
    <t>commentaires charges</t>
  </si>
  <si>
    <t>Effectif prévisionnel</t>
  </si>
  <si>
    <t>Effectif réel</t>
  </si>
  <si>
    <t>Activité</t>
  </si>
  <si>
    <t>Refacturés aux SLA sur la base des charges réelles et au prorata des adhérents de +16ans au 31.08.N-1</t>
  </si>
  <si>
    <t>Date à confirmer</t>
  </si>
  <si>
    <t>Assemblée générale</t>
  </si>
  <si>
    <t>CN avril</t>
  </si>
  <si>
    <t>Nb enfant</t>
  </si>
  <si>
    <t>Prix unit</t>
  </si>
  <si>
    <t>Nb adulte</t>
  </si>
  <si>
    <t xml:space="preserve">Mode de paiement </t>
  </si>
  <si>
    <t>EEDF Metz</t>
  </si>
  <si>
    <t>Prélèvement J+7</t>
  </si>
  <si>
    <t>EEDF Strasbourg</t>
  </si>
  <si>
    <t>EEDF Freyming</t>
  </si>
  <si>
    <t>EEDF Plappeville</t>
  </si>
  <si>
    <t>EEDF Nancy</t>
  </si>
  <si>
    <t>EEDF Mulhouse</t>
  </si>
  <si>
    <t>AG</t>
  </si>
  <si>
    <t>Délégués</t>
  </si>
  <si>
    <t>Obs</t>
  </si>
  <si>
    <t>Florival</t>
  </si>
  <si>
    <t>Golbey</t>
  </si>
  <si>
    <t>Troyes</t>
  </si>
  <si>
    <t>Balnot</t>
  </si>
  <si>
    <t>Ludo</t>
  </si>
  <si>
    <t>EEDF : Rapport financier</t>
  </si>
  <si>
    <t>Région Grand Est</t>
  </si>
  <si>
    <t>Exercice 2024</t>
  </si>
  <si>
    <t>Compte régionaux</t>
  </si>
  <si>
    <t>Au 31/12/24</t>
  </si>
  <si>
    <t>Année N-1</t>
  </si>
  <si>
    <t>évolution</t>
  </si>
  <si>
    <t>Trésorerie</t>
  </si>
  <si>
    <t>Consolidé</t>
  </si>
  <si>
    <t>Le rapport financier :</t>
  </si>
  <si>
    <t>C'est quoi le rapport financier ?</t>
  </si>
  <si>
    <t>Ce document comptable établi annuellement par le trésorier de la structure est présenté à l’assemblée générale à chaque fin d’exercice et soumis à son approbation. Le rapport financier d’une association s’appuie sur le compte de résultat, le bilan et :</t>
  </si>
  <si>
    <t>Reprend les grands flux financiers de l’association, c’est-à-dire les recettes et dépenses établies dans le compte de résultat ainsi que les actifs et passifs inscrits dans le bilan ;</t>
  </si>
  <si>
    <t>Présente la structure des différents types de fonds pour une compréhension globale de l’activité ;</t>
  </si>
  <si>
    <t>Présente la provenance des fonds collectés et des fonds dépensés ;</t>
  </si>
  <si>
    <t>Explique la situation de la trésorerie.</t>
  </si>
  <si>
    <t>Dans ce document, nous verrons :</t>
  </si>
  <si>
    <r>
      <t>□ Quels sont les principaux indicateurs de 2023 et 2024 - Page de garde</t>
    </r>
    <r>
      <rPr>
        <sz val="12"/>
        <color rgb="FF595959"/>
        <rFont val="Calibri"/>
        <family val="2"/>
      </rPr>
      <t>_x001E_</t>
    </r>
  </si>
  <si>
    <t>□ Qu'est ce que le rapport financier - Page actuelle</t>
  </si>
  <si>
    <t>□ Comment se réparti le résultat entre les différentes activités - Pages X à Y</t>
  </si>
  <si>
    <t>□ Quelle est la provenance des fonds par activité et la dépense qui est en faite - Page X</t>
  </si>
  <si>
    <t>□ L'évolution de la trésorerie sur 2024 - Page X</t>
  </si>
  <si>
    <t>□ L'analyse de l'équipe régionale sur la situation financière 2024 - Page X</t>
  </si>
  <si>
    <t>□ En annexe, le compte de résultat et le bilan 2023 et 2024</t>
  </si>
  <si>
    <t>Le résultat comptable décortiqué :</t>
  </si>
  <si>
    <t>Le résultat comptable mesure les ressources nettes restant à l'issue de l'exercice : bénéfice ou perte. Il correspond à la différence entre les produits et les charges de l'exercice</t>
  </si>
  <si>
    <t>Produit</t>
  </si>
  <si>
    <t>Listes</t>
  </si>
  <si>
    <t>PSO</t>
  </si>
  <si>
    <t>X</t>
  </si>
  <si>
    <t>Tremplin camp - avril</t>
  </si>
  <si>
    <t>TOTAL Général</t>
  </si>
  <si>
    <t xml:space="preserve">Analyse de la vie associative </t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</si>
  <si>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évènement institutionnel de 2 jours en janvier 2024 - Le prix est réparti au proratas des adhérents en capacité de voter au congrès au 31/08/2023.</t>
    </r>
  </si>
  <si>
    <t>Répartition des produits et charges :</t>
  </si>
  <si>
    <t>Total charges</t>
  </si>
  <si>
    <t>Total produits</t>
  </si>
  <si>
    <t xml:space="preserve">Résultat 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</si>
  <si>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 prix par adhérent est de 9.40 €, une seule personne étant adhérente au 31/08/23 sur l'échelon régional, ce qui donne explique le résultat.</t>
    </r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</si>
  <si>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évènement institutionnel de 2 jours en juin 2024 - Le prix est défini par le siège. La région gère le transport des participants du Grand Est et se fait rembourser ensuite. Il y a eu 5 délégués élus au congrès et le responsable régional présents. </t>
    </r>
  </si>
  <si>
    <t>Refacturation des déplacements</t>
  </si>
  <si>
    <r>
      <rPr>
        <u/>
        <sz val="12"/>
        <color rgb="FF595959"/>
        <rFont val="Arial"/>
        <family val="2"/>
      </rPr>
      <t>Note de l'équipe régionale :</t>
    </r>
    <r>
      <rPr>
        <sz val="12"/>
        <color rgb="FF595959"/>
        <rFont val="Arial"/>
        <family val="2"/>
        <charset val="1"/>
      </rPr>
      <t xml:space="preserve"> Les délégués à l'AG sont facturés 120€/délégués. Des participants ont fait dons de leurs frais de transport à la région, cela explique le solde positif des déplacements AG</t>
    </r>
  </si>
  <si>
    <t>Conseils nationaux</t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</si>
  <si>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évènement institutionnel de 2 jours en avril et octobre 2024 - Le prix est défini par le siège. La région gère le transport des participants du Grand Est et se fait rembourser ensuite.</t>
    </r>
  </si>
  <si>
    <t>Participation au CN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</si>
  <si>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La région a été présente en son nom en avril avec 2 participants. La date étant en conflit avec le tremplin de rentrée, il n'y a pas eu de représentant de l'échelon régional en octobre.</t>
    </r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</si>
  <si>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Dépense de vie d'équipe régionale : Transport et intendance des rencontres</t>
    </r>
  </si>
  <si>
    <t>Montant des adhésions à valider en fin d'année</t>
  </si>
  <si>
    <t>Dons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</si>
  <si>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Cela correspond au frais  d'une rencontre ER en septembre 2024 (déplacement et d'intendance) et des adhésions prises au niveau régional.</t>
    </r>
  </si>
  <si>
    <t>Vie des SLA</t>
  </si>
  <si>
    <t xml:space="preserve">Analyse de la vie des structures locales </t>
  </si>
  <si>
    <t>Suivi des groupes et visites</t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</si>
  <si>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Dans sa mission de soutien aux SLA, la région est amenée à se déplacer ou à engager des frais. En Moselle, une coordination des PSO est centralisée au niveau régional pour des raisons administratives.</t>
    </r>
  </si>
  <si>
    <t>Remise à zéro du solde Golbey</t>
  </si>
  <si>
    <t>Note de frais transport - visite de camp</t>
  </si>
  <si>
    <t>Visites de camps</t>
  </si>
  <si>
    <t>visite APL</t>
  </si>
  <si>
    <t>Visites des APL</t>
  </si>
  <si>
    <t>Suivi PSO Moselle</t>
  </si>
  <si>
    <t>PSO Freyming</t>
  </si>
  <si>
    <t>PSO Lessy</t>
  </si>
  <si>
    <t>PSO Metz</t>
  </si>
  <si>
    <t>Note Suri : Sera modifié entre Metz et Vigy au prochain virement</t>
  </si>
  <si>
    <t>PSO Plappeville</t>
  </si>
  <si>
    <t>PSO Vigy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</si>
  <si>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 suivi de la plupart des projets a été effectué à distance (ce qui n'a pas généré de frais). Pour la plupart des visites, les conducteurs ont choisi de renoncer à leurs frais de déplacement, ce qui a évité beaucoup de frais sur le suivi. L'aide au groupe correspond a une aide régionale pour un groupe qui avait le compte a découvert.
Pour la PSO en Moselle, la région reçoit toutes les recettes et les répartis envers les groupes en fonction des notifications de la CAF.</t>
    </r>
  </si>
  <si>
    <t>Pédagogie - Formation</t>
  </si>
  <si>
    <t>Analyse de la partie pédagogie - formation</t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</si>
  <si>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La région organisé un camp ouvert d'une semaine en juillet 2024.
17 enfants et 5 adultes ont participés à ce camp. 4 CEE ont été recrutés sous la direction de Céline (AD)
Le prix du camp était de 300 € (tarif dégressif pour les frateries).</t>
    </r>
  </si>
  <si>
    <t>Dépenses directions</t>
  </si>
  <si>
    <t>Participation au camp</t>
  </si>
  <si>
    <t>Dont adhésion</t>
  </si>
  <si>
    <t>Entretien/petit mat.</t>
  </si>
  <si>
    <t>Dépenses organisation</t>
  </si>
  <si>
    <t>Total charge</t>
  </si>
  <si>
    <t>Total produit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</si>
  <si>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Initialement, 3 camps étaient prévus et devaient dégager un exédent de 8k€, ce qui aurait permis de financer la masse salariale des AD. Finalement, nous avons organisé un petit camp qui a généré 600 €, cela est dû :
- Au faible nombre de participants (17)
- A l'important nombre d'encadrant pour la taille du camp (5)
De plus, nous n'avons pas imputé ici la prise en charge du coût du poste de direction (AD).</t>
    </r>
  </si>
  <si>
    <t>BAFA</t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</si>
  <si>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La région organisé un stage BAFA Base en avril 2024 et un BAFA Appro en octobre 2024.
X stagiaires et X encadrants ont participés. Le prix de ce stage était de 535 € (prix public Base) ou 475 € (prix public Appro) et une aide a été octroyée pour les stagiaires des groupes locaux.</t>
    </r>
  </si>
  <si>
    <t>Participation stagiaires</t>
  </si>
  <si>
    <t>péDA</t>
  </si>
  <si>
    <r>
      <rPr>
        <u/>
        <sz val="12"/>
        <color rgb="FF595959"/>
        <rFont val="Arial"/>
        <family val="2"/>
      </rPr>
      <t>Note de l'équipe régionale :</t>
    </r>
    <r>
      <rPr>
        <sz val="12"/>
        <color rgb="FF595959"/>
        <rFont val="Arial"/>
        <family val="2"/>
        <charset val="1"/>
      </rPr>
      <t xml:space="preserve"> ……………….</t>
    </r>
  </si>
  <si>
    <t>Tremplins</t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</si>
  <si>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Week-end de formation pour les bénévoles</t>
    </r>
  </si>
  <si>
    <t>Total pour les deux tremplins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</si>
  <si>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Les week-ends tremplin sont permis par une subvention (FDVA 1). La pérénité de cette subvention nous permet pour le moment d'organiser deux formations par an. Les Tremplins sont en positifs grace à :
- Des frais de transport non réclamés
- Des économies d'échelle sur l'alimentation</t>
    </r>
  </si>
  <si>
    <t>R.I.R</t>
  </si>
  <si>
    <r>
      <rPr>
        <u/>
        <sz val="12"/>
        <color rgb="FF595959"/>
        <rFont val="Arial"/>
        <family val="2"/>
      </rPr>
      <t>Le contexte :</t>
    </r>
    <r>
      <rPr>
        <sz val="12"/>
        <color rgb="FF595959"/>
        <rFont val="Arial"/>
        <family val="2"/>
        <charset val="1"/>
      </rPr>
      <t xml:space="preserve"> La région organisé un camp ouvert d'une semaine en juillet 2024.
X enfants et X adultes ont participés à ce camp. X CEE ont été recrutés sous la direction de Céline (AD)
Le prix du camp était de 300 € (tarif dégressif pour les frateries).</t>
    </r>
  </si>
  <si>
    <t>péda</t>
  </si>
  <si>
    <t>aide interne</t>
  </si>
  <si>
    <t>Petit matériel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</si>
  <si>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 RIR a été initialement prevu comme déficitaire de 1500 €, toutefois le désistement d'un groupe a permis de réduire de 2000 € les frais de transport. 
Ces derniers (les frais de transport) correspondent à 57% des charges totales.
Les frais d'hébergement correspondent à 2 000 € (prix officiel de la location des Tronches) mais a été ramené à 200 € grace à l'aide de 1 800 €.
Les 148 participants au RIR ont payés chacun 65 €. Chaque groupe a pu récupéré une partie (a voir) au titre de la PSO CAF.
La subvention de 6 000 € n'avait pas été initialement comptée car cela faisait 4 ans qu'elle n'avait pas été obtenue et la notification est arrivée en septembre.</t>
    </r>
  </si>
  <si>
    <t>Analyse de la partie fonctionnement</t>
  </si>
  <si>
    <t>La permanence de Metz</t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</si>
  <si>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La région loue un bureau à Metz, en face de la ludothèque. Ce bureau sert d'espace de travail à Céline (AD) et permet de stocker du matériel.</t>
    </r>
  </si>
  <si>
    <t>A confirmer</t>
  </si>
  <si>
    <t>Suri : J'attend l'info sur que faire de cela. Peut-être à reverser à la ludo ou Metz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</si>
  <si>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La permanence est financée par une subvention de la ville de Metz. (Puisqu'elle accueille un AD, nous sommes en train de voir pour faire financer une partie du reste à charge par le siège ?)</t>
    </r>
  </si>
  <si>
    <t>Frais généraux (Hors permanence)</t>
  </si>
  <si>
    <t>Il s'agit de tous les frais généraux liés à l'échelon régional</t>
  </si>
  <si>
    <t>Téléphone</t>
  </si>
  <si>
    <t>Adhésions COJEP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</si>
  <si>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
COJEP : coordination des association d'éducation populaire à Metz.
La ligne de téléphone a été arrêtée dans l'année 2024.</t>
    </r>
  </si>
  <si>
    <t>Participation à la masse salariale des AD</t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</si>
  <si>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Le siège a facturé en 2023 et 2024 une participation à la masse salariale des AD (total de 150 k€/an répartis en plusieurs régions). Nous avons choisi en congrès en 2023 de refacturer cela aux groupes avec un surcoût de l'adhésion de 20€/enfants à partir de la rentrée 2023.</t>
    </r>
  </si>
  <si>
    <t>Facturation siège</t>
  </si>
  <si>
    <t>Produits des groupes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</si>
  <si>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 siège nous a facturé 9000 € en 2023 et 8700 € en 2024. Toutefois, nous avons commencé à facturer les 20€/enfants que à partir de la rentrée 2023, cela signifie que sur les deux ans, seul l'un des prélèvement du siège a pu être refacturé aux SLA, le reste a été pris en charge sur la région.
L'ER a fait le choix de ne pas refacturé le montant 2024 sur la saison 2024-25 car l'AG a décidé que ce type de frais disparaîtrait en 2025.
Ce "reste à charge" de plus de 4000 euros pèse beaucoup dans les comptes de la région.</t>
    </r>
  </si>
  <si>
    <t>Les véhicules</t>
  </si>
  <si>
    <r>
      <rPr>
        <u/>
        <sz val="12"/>
        <color rgb="FF595959"/>
        <rFont val="Arial"/>
      </rPr>
      <t>Le contexte :</t>
    </r>
    <r>
      <rPr>
        <sz val="12"/>
        <color rgb="FF595959"/>
        <rFont val="Arial"/>
      </rPr>
      <t xml:space="preserve"> La région dispose de deux véhicules :
- Une camionette (Mercedes Sprinter) de 20XX et XXX km achetée en 2018 au groupe de Freyming
- Un véhicule 9 places (Renault Traffic) de 20XX et XXX km, récupéré en juin 2024 à la fermeture du groupe de Golbey
Ces deux véhicules sont stationnés à Metz et sont à la disposition des SLA en location.</t>
    </r>
  </si>
  <si>
    <t>Répartition des produits et charges liés à la camionette (Mercedes Sprinter) - Sur 2024</t>
  </si>
  <si>
    <t>Répartition des produits et charges liés au véhicule 9 places (Renaud Traffic) - Juin à décembre 2024</t>
  </si>
  <si>
    <r>
      <rPr>
        <u/>
        <sz val="12"/>
        <color rgb="FF595959"/>
        <rFont val="Arial"/>
      </rPr>
      <t>Note de l'équipe régionale :</t>
    </r>
    <r>
      <rPr>
        <sz val="12"/>
        <color rgb="FF595959"/>
        <rFont val="Arial"/>
      </rPr>
      <t xml:space="preserve"> Les deux véhicules se sont autofinancés en 2024 et ont généré un bénéfice. En tout, ils ont roulés X km et X jours au profit de différentes SLA et de la région. L'exédent généré par ces véhicules nous permet d'avoir de la trésorerie pour faire les réparations nécéssaires à leur bon fonctionnement et pour prévoir un rachat de véhicule si un jour ceux-ci ne seront plus en état de rouler.</t>
    </r>
  </si>
  <si>
    <t>Evolution de la trésorerie sur 2024</t>
  </si>
  <si>
    <t>Compte</t>
  </si>
  <si>
    <t>Au 01/01</t>
  </si>
  <si>
    <t>Au 31/12</t>
  </si>
  <si>
    <t>Evolution</t>
  </si>
  <si>
    <t>BRED - Lorraine Alsace</t>
  </si>
  <si>
    <t>BRED - Moselle</t>
  </si>
  <si>
    <t>Reste à payer au 31/12 :</t>
  </si>
  <si>
    <t>Reste à recevoir au 31/12 :</t>
  </si>
  <si>
    <t>Total trésorerie :</t>
  </si>
  <si>
    <t>Total disponible</t>
  </si>
  <si>
    <t>Evolution du solde bancaire en 2024</t>
  </si>
  <si>
    <t>Graphique à faire</t>
  </si>
  <si>
    <t>Total BAFA</t>
  </si>
  <si>
    <t>Transport des formateurs</t>
  </si>
  <si>
    <t>Bourse région</t>
  </si>
  <si>
    <t>BUDGET PREVISIONNEL 2023 V1</t>
  </si>
  <si>
    <t xml:space="preserve">REGION </t>
  </si>
  <si>
    <t>REGION</t>
  </si>
  <si>
    <t>TOTAL comptes 60 à 65</t>
  </si>
  <si>
    <t>TOTAL comptes 70 à 75</t>
  </si>
  <si>
    <t>EBE</t>
  </si>
  <si>
    <t>EBE en %</t>
  </si>
  <si>
    <t>CONTRIBUTION  7%</t>
  </si>
  <si>
    <t>BUDGET PREVISIONNEL 2022 V2</t>
  </si>
  <si>
    <t>Gaz cuisson</t>
  </si>
  <si>
    <t>Matériel éducatif - Foulard GE</t>
  </si>
  <si>
    <t>Matériel général vélo</t>
  </si>
  <si>
    <t>Location (hébergement) - lu/loup</t>
  </si>
  <si>
    <t>Location (hébergement) - E/E itinérance</t>
  </si>
  <si>
    <t>Location (hébergement) - E/E sur place</t>
  </si>
  <si>
    <t>Participation équipiers</t>
  </si>
  <si>
    <t>Gaz</t>
  </si>
  <si>
    <t>Matériel pédagogique</t>
  </si>
  <si>
    <t>Pharmacetique</t>
  </si>
  <si>
    <t>Location véhicule</t>
  </si>
  <si>
    <t>Delta Contribution</t>
  </si>
  <si>
    <t>Résultat retraité contrib</t>
  </si>
  <si>
    <t>15 stagiaires concernés</t>
  </si>
  <si>
    <t>Check1</t>
  </si>
  <si>
    <t>check2</t>
  </si>
  <si>
    <t xml:space="preserve">Petit Bivouac </t>
  </si>
  <si>
    <t>Grand Bivouac</t>
  </si>
  <si>
    <t>Marge de 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</si>
</sst>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  <numFmt numFmtId="167" formatCode="_-* #,##0.00_-;\-* #,##0.00_-;_-* &quot;-&quot;??_-;_-@_-"/>
    <numFmt numFmtId="168" formatCode="_-* #,##0.00\ _€_-;\-* #,##0.00\ _€_-;_-* &quot;-&quot;??\ _€_-;_-@_-"/>
    <numFmt numFmtId="169" formatCode="_(\$* #,##0_);_(\$* \(#,##0\);_(\$* \-_);_(@_)"/>
    <numFmt numFmtId="170" formatCode="_-* #,##0.00&quot; €&quot;_-;\-* #,##0.00&quot; €&quot;_-;_-* \-??&quot; €&quot;_-;_-@_-"/>
    <numFmt numFmtId="171" formatCode="_-* #,##0.00\ _€_-;\-* #,##0.00\ _€_-;_-* \-??\ _€_-;_-@_-"/>
    <numFmt numFmtId="172" formatCode="#,##0.00_ ;\-#,##0.00\ "/>
    <numFmt numFmtId="173" formatCode="_-* #,##0.00\ _€_-;\-* #,##0.00\ _€_-;_-* \-??\ _€_-;_-@"/>
    <numFmt numFmtId="174" formatCode="_-* #,##0.00\ [$€-40C]_-;\-* #,##0.00\ [$€-40C]_-;_-* \-??\ [$€-40C]_-;_-@_-"/>
    <numFmt numFmtId="175" formatCode="#,##0_ ;\-#,##0\ "/>
    <numFmt numFmtId="176" formatCode="0.00\ %"/>
    <numFmt numFmtId="177" formatCode="#,##0;\-#,##0;&quot;°&quot;"/>
    <numFmt numFmtId="178" formatCode="_-* #,##0.00\ [$€-40C]_-;\-* #,##0.00\ [$€-40C]_-;_-* &quot;-&quot;??\ [$€-40C]_-;_-@_-"/>
    <numFmt numFmtId="179" formatCode="_-* #,##0.00\ _€_-;\-* #,##0.00\ _€_-;_-* &quot;-&quot;??\ _€_-;_-@"/>
    <numFmt numFmtId="180" formatCode="_-* #,##0.00\ [$€-1]_-;\-* #,##0.00\ [$€-1]_-;_-* &quot;-&quot;??\ [$€-1]"/>
    <numFmt numFmtId="181" formatCode="d\ mmmm\ yyyy"/>
    <numFmt numFmtId="182" formatCode="#,##0.00\ [$FRF]"/>
    <numFmt numFmtId="183" formatCode="#,##0.00\ &quot;F&quot;"/>
    <numFmt numFmtId="184" formatCode="_-* #,##0.00\ [$€-1]_-;\-* #,##0.00\ [$€-1]_-;_-* &quot;-&quot;??\ [$€-1]_-;_-@_-"/>
    <numFmt numFmtId="185" formatCode="#,##0.00\ &quot;€&quot;"/>
    <numFmt numFmtId="186" formatCode="m/d/yyyy\ h:mm:ss"/>
    <numFmt numFmtId="187" formatCode="#,##0&quot;€&quot;"/>
    <numFmt numFmtId="188" formatCode="dd/mm/yyyy\ hh:mm:ss"/>
    <numFmt numFmtId="189" formatCode="#,##0\ &quot;€&quot;"/>
    <numFmt numFmtId="190" formatCode="_-* #,##0\ &quot;€&quot;_-;\-* #,##0\ &quot;€&quot;_-;_-* &quot;-&quot;??\ &quot;€&quot;_-;_-@_-"/>
    <numFmt numFmtId="191" formatCode="dd\-mmm"/>
    <numFmt numFmtId="192" formatCode="_-* #,##0.00\ [$€-140C]_-;\-* #,##0.00\ [$€-140C]_-;_-* &quot;-&quot;??\ [$€-140C]_-;_-@_-"/>
    <numFmt numFmtId="193" formatCode="#,##0.00\ [$€-47E]"/>
    <numFmt numFmtId="194" formatCode="#,##0.00\ [$€-424]"/>
  </numFmts>
  <fonts count="110" x14ac:knownFonts="1">
    <font>
      <sz val="9"/>
      <color rgb="FF595959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  <charset val="1"/>
    </font>
    <font>
      <b/>
      <sz val="28"/>
      <color rgb="FF808080"/>
      <name val="Arial"/>
      <family val="2"/>
      <charset val="1"/>
    </font>
    <font>
      <b/>
      <sz val="9"/>
      <color rgb="FF80808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28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</font>
    <font>
      <b/>
      <sz val="9"/>
      <color rgb="FF595959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b/>
      <sz val="20"/>
      <name val="Arial"/>
      <family val="2"/>
      <charset val="1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sz val="20"/>
      <color rgb="FF000000"/>
      <name val="Calibri"/>
      <family val="2"/>
    </font>
    <font>
      <sz val="9"/>
      <color rgb="FF000000"/>
      <name val="Calibri"/>
      <family val="2"/>
    </font>
    <font>
      <b/>
      <sz val="9"/>
      <name val="Calibri"/>
      <family val="2"/>
    </font>
    <font>
      <b/>
      <sz val="8"/>
      <name val="Calibri"/>
      <family val="2"/>
      <charset val="1"/>
    </font>
    <font>
      <b/>
      <sz val="8"/>
      <color rgb="FF000000"/>
      <name val="Calibri"/>
      <family val="2"/>
    </font>
    <font>
      <b/>
      <sz val="9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</font>
    <font>
      <sz val="9"/>
      <color rgb="FF595959"/>
      <name val="Arial"/>
      <family val="2"/>
      <charset val="1"/>
    </font>
    <font>
      <b/>
      <sz val="12"/>
      <color rgb="FF59595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color indexed="63"/>
      <name val="Arial"/>
      <family val="2"/>
    </font>
    <font>
      <sz val="9"/>
      <color theme="1" tint="0.34998626667073579"/>
      <name val="Arial"/>
      <family val="2"/>
    </font>
    <font>
      <sz val="9"/>
      <color indexed="23"/>
      <name val="Arial"/>
      <family val="2"/>
    </font>
    <font>
      <b/>
      <sz val="12"/>
      <name val="Calibri"/>
      <family val="2"/>
    </font>
    <font>
      <i/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2"/>
      <name val="Calibri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Arial"/>
      <family val="2"/>
    </font>
    <font>
      <b/>
      <i/>
      <sz val="20"/>
      <color rgb="FF000000"/>
      <name val="Arial"/>
      <family val="2"/>
    </font>
    <font>
      <i/>
      <sz val="8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0000FF"/>
      <name val="Arial"/>
      <family val="2"/>
    </font>
    <font>
      <b/>
      <i/>
      <sz val="12"/>
      <color rgb="FF000000"/>
      <name val="Arial"/>
      <family val="2"/>
    </font>
    <font>
      <b/>
      <i/>
      <sz val="12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b/>
      <i/>
      <sz val="11"/>
      <color rgb="FF000000"/>
      <name val="Arial"/>
      <family val="2"/>
    </font>
    <font>
      <i/>
      <sz val="60"/>
      <name val="Arial"/>
      <family val="2"/>
    </font>
    <font>
      <b/>
      <i/>
      <sz val="10"/>
      <color rgb="FFFF000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9"/>
      <color rgb="FF595959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rgb="FF595959"/>
      <name val="Arial"/>
      <family val="2"/>
    </font>
    <font>
      <i/>
      <sz val="9"/>
      <color rgb="FF595959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Arial"/>
      <family val="2"/>
      <charset val="1"/>
    </font>
    <font>
      <sz val="11"/>
      <color rgb="FF3F3F76"/>
      <name val="Calibri"/>
      <family val="2"/>
      <scheme val="minor"/>
    </font>
    <font>
      <sz val="11"/>
      <color rgb="FF595959"/>
      <name val="Arial"/>
      <family val="2"/>
      <charset val="1"/>
    </font>
    <font>
      <sz val="12"/>
      <color rgb="FF595959"/>
      <name val="Arial"/>
      <family val="2"/>
      <charset val="1"/>
    </font>
    <font>
      <sz val="12"/>
      <color rgb="FF595959"/>
      <name val="Arial"/>
      <family val="2"/>
    </font>
    <font>
      <sz val="16"/>
      <color rgb="FF595959"/>
      <name val="Arial"/>
      <family val="2"/>
      <charset val="1"/>
    </font>
    <font>
      <u/>
      <sz val="15"/>
      <color rgb="FF595959"/>
      <name val="Arial"/>
      <family val="2"/>
    </font>
    <font>
      <i/>
      <sz val="11"/>
      <color rgb="FF595959"/>
      <name val="Arial"/>
      <family val="2"/>
    </font>
    <font>
      <b/>
      <sz val="16"/>
      <color rgb="FF595959"/>
      <name val="Arial Rounded MT Bold"/>
      <family val="2"/>
    </font>
    <font>
      <sz val="20"/>
      <color rgb="FF595959"/>
      <name val="Arial"/>
      <family val="2"/>
      <charset val="1"/>
    </font>
    <font>
      <sz val="16"/>
      <color rgb="FF000000"/>
      <name val="Tenorite"/>
    </font>
    <font>
      <sz val="12"/>
      <color rgb="FF595959"/>
      <name val="Calibri"/>
      <family val="2"/>
    </font>
    <font>
      <u/>
      <sz val="12"/>
      <color rgb="FF595959"/>
      <name val="Arial"/>
      <family val="2"/>
    </font>
    <font>
      <sz val="12"/>
      <color rgb="FF000000"/>
      <name val="Tenorite"/>
    </font>
    <font>
      <sz val="16"/>
      <color rgb="FF595959"/>
      <name val="Arial Black"/>
      <family val="2"/>
    </font>
    <font>
      <sz val="12"/>
      <color rgb="FFFF0000"/>
      <name val="Arial"/>
      <family val="2"/>
      <charset val="1"/>
    </font>
    <font>
      <sz val="12"/>
      <color theme="0" tint="-0.34998626667073579"/>
      <name val="Arial"/>
      <family val="2"/>
      <charset val="1"/>
    </font>
    <font>
      <u/>
      <sz val="11"/>
      <color rgb="FF595959"/>
      <name val="Arial"/>
      <family val="2"/>
      <charset val="1"/>
    </font>
    <font>
      <b/>
      <sz val="11"/>
      <color rgb="FF595959"/>
      <name val="Arial"/>
      <family val="2"/>
    </font>
    <font>
      <sz val="11"/>
      <color rgb="FF595959"/>
      <name val="Arial"/>
      <family val="2"/>
    </font>
    <font>
      <sz val="12"/>
      <color theme="0"/>
      <name val="Arial"/>
      <family val="2"/>
      <charset val="1"/>
    </font>
    <font>
      <sz val="11"/>
      <color rgb="FFFF0000"/>
      <name val="Calibri"/>
      <family val="2"/>
      <scheme val="minor"/>
    </font>
    <font>
      <u/>
      <sz val="12"/>
      <color rgb="FF595959"/>
      <name val="Arial"/>
    </font>
    <font>
      <sz val="12"/>
      <color rgb="FF595959"/>
      <name val="Arial"/>
    </font>
    <font>
      <sz val="9"/>
      <color rgb="FFFF0000"/>
      <name val="Arial"/>
      <family val="2"/>
      <charset val="1"/>
    </font>
    <font>
      <i/>
      <sz val="12"/>
      <color rgb="FF595959"/>
      <name val="Arial"/>
      <family val="2"/>
      <charset val="1"/>
    </font>
    <font>
      <b/>
      <sz val="11"/>
      <color theme="0"/>
      <name val="Calibri"/>
      <family val="2"/>
      <scheme val="minor"/>
    </font>
    <font>
      <sz val="10"/>
      <color rgb="FFC00000"/>
      <name val="Arial"/>
      <family val="2"/>
    </font>
    <font>
      <sz val="10"/>
      <color rgb="FF595959"/>
      <name val="Arial"/>
      <family val="2"/>
      <charset val="1"/>
    </font>
    <font>
      <b/>
      <sz val="9"/>
      <color rgb="FF000000"/>
      <name val="Arial"/>
    </font>
    <font>
      <sz val="9"/>
      <color rgb="FF000000"/>
      <name val="Arial"/>
    </font>
  </fonts>
  <fills count="4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00CCFF"/>
        <bgColor rgb="FF33CCCC"/>
      </patternFill>
    </fill>
    <fill>
      <patternFill patternType="solid">
        <fgColor rgb="FFFF6600"/>
        <bgColor rgb="FFFF9900"/>
      </patternFill>
    </fill>
    <fill>
      <patternFill patternType="solid">
        <fgColor rgb="FFFFCC99"/>
        <bgColor rgb="FFFFCCCC"/>
      </patternFill>
    </fill>
    <fill>
      <patternFill patternType="solid">
        <fgColor rgb="FF99CC00"/>
        <bgColor rgb="FFFFCC00"/>
      </patternFill>
    </fill>
    <fill>
      <patternFill patternType="solid">
        <fgColor rgb="FFCCFFFF"/>
        <bgColor rgb="FFDAEDF3"/>
      </patternFill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CE4D3"/>
        <bgColor rgb="FFDDDDDD"/>
      </patternFill>
    </fill>
    <fill>
      <patternFill patternType="solid">
        <fgColor rgb="FFDAEDF3"/>
        <bgColor rgb="FFDDDDDD"/>
      </patternFill>
    </fill>
    <fill>
      <patternFill patternType="solid">
        <fgColor indexed="27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theme="7" tint="0.59999389629810485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rgb="FFFF99CC"/>
        <bgColor rgb="FFFF99CC"/>
      </patternFill>
    </fill>
    <fill>
      <patternFill patternType="solid">
        <fgColor rgb="FFCCCCFF"/>
        <bgColor rgb="FFCCCCFF"/>
      </patternFill>
    </fill>
    <fill>
      <patternFill patternType="solid">
        <fgColor rgb="FFFF8080"/>
        <bgColor rgb="FFFF808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CCFFC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0000"/>
        <bgColor rgb="FFCCCCFF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</fills>
  <borders count="1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170" fontId="30" fillId="0" borderId="0" applyBorder="0" applyProtection="0">
      <alignment vertical="center"/>
    </xf>
    <xf numFmtId="0" fontId="15" fillId="0" borderId="0" applyProtection="0">
      <alignment vertical="center"/>
    </xf>
    <xf numFmtId="0" fontId="37" fillId="0" borderId="0">
      <alignment vertical="center"/>
    </xf>
    <xf numFmtId="168" fontId="38" fillId="0" borderId="0" applyFont="0" applyFill="0" applyBorder="0" applyAlignment="0" applyProtection="0"/>
    <xf numFmtId="0" fontId="6" fillId="0" borderId="0"/>
    <xf numFmtId="0" fontId="47" fillId="0" borderId="0"/>
    <xf numFmtId="166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" fillId="0" borderId="0"/>
    <xf numFmtId="166" fontId="5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78" fillId="0" borderId="0"/>
    <xf numFmtId="0" fontId="80" fillId="37" borderId="100" applyNumberFormat="0" applyAlignment="0" applyProtection="0"/>
    <xf numFmtId="0" fontId="4" fillId="0" borderId="0"/>
    <xf numFmtId="167" fontId="30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</cellStyleXfs>
  <cellXfs count="1494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37" fontId="10" fillId="0" borderId="1" xfId="0" applyNumberFormat="1" applyFont="1" applyBorder="1" applyAlignment="1">
      <alignment horizontal="left" vertical="center" textRotation="75"/>
    </xf>
    <xf numFmtId="37" fontId="10" fillId="0" borderId="2" xfId="0" applyNumberFormat="1" applyFont="1" applyBorder="1" applyAlignment="1">
      <alignment horizontal="left" vertical="center" textRotation="75"/>
    </xf>
    <xf numFmtId="37" fontId="10" fillId="0" borderId="3" xfId="0" applyNumberFormat="1" applyFont="1" applyBorder="1" applyAlignment="1">
      <alignment horizontal="left" vertical="center" textRotation="75"/>
    </xf>
    <xf numFmtId="0" fontId="10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3" fontId="11" fillId="2" borderId="6" xfId="0" applyNumberFormat="1" applyFont="1" applyFill="1" applyBorder="1">
      <alignment vertical="center"/>
    </xf>
    <xf numFmtId="3" fontId="11" fillId="2" borderId="7" xfId="0" applyNumberFormat="1" applyFont="1" applyFill="1" applyBorder="1">
      <alignment vertical="center"/>
    </xf>
    <xf numFmtId="3" fontId="11" fillId="2" borderId="8" xfId="0" applyNumberFormat="1" applyFont="1" applyFill="1" applyBorder="1">
      <alignment vertical="center"/>
    </xf>
    <xf numFmtId="3" fontId="11" fillId="7" borderId="6" xfId="0" applyNumberFormat="1" applyFont="1" applyFill="1" applyBorder="1">
      <alignment vertical="center"/>
    </xf>
    <xf numFmtId="3" fontId="11" fillId="7" borderId="7" xfId="0" applyNumberFormat="1" applyFont="1" applyFill="1" applyBorder="1">
      <alignment vertical="center"/>
    </xf>
    <xf numFmtId="3" fontId="11" fillId="7" borderId="5" xfId="0" applyNumberFormat="1" applyFont="1" applyFill="1" applyBorder="1">
      <alignment vertical="center"/>
    </xf>
    <xf numFmtId="3" fontId="11" fillId="8" borderId="4" xfId="0" applyNumberFormat="1" applyFont="1" applyFill="1" applyBorder="1">
      <alignment vertical="center"/>
    </xf>
    <xf numFmtId="3" fontId="11" fillId="8" borderId="5" xfId="0" applyNumberFormat="1" applyFont="1" applyFill="1" applyBorder="1">
      <alignment vertical="center"/>
    </xf>
    <xf numFmtId="3" fontId="11" fillId="8" borderId="8" xfId="0" applyNumberFormat="1" applyFont="1" applyFill="1" applyBorder="1">
      <alignment vertical="center"/>
    </xf>
    <xf numFmtId="3" fontId="11" fillId="2" borderId="9" xfId="0" applyNumberFormat="1" applyFont="1" applyFill="1" applyBorder="1">
      <alignment vertical="center"/>
    </xf>
    <xf numFmtId="3" fontId="11" fillId="2" borderId="5" xfId="0" applyNumberFormat="1" applyFont="1" applyFill="1" applyBorder="1">
      <alignment vertical="center"/>
    </xf>
    <xf numFmtId="3" fontId="11" fillId="9" borderId="4" xfId="0" applyNumberFormat="1" applyFont="1" applyFill="1" applyBorder="1">
      <alignment vertical="center"/>
    </xf>
    <xf numFmtId="3" fontId="11" fillId="9" borderId="5" xfId="0" applyNumberFormat="1" applyFont="1" applyFill="1" applyBorder="1">
      <alignment vertical="center"/>
    </xf>
    <xf numFmtId="3" fontId="11" fillId="9" borderId="8" xfId="0" applyNumberFormat="1" applyFont="1" applyFill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3" fontId="10" fillId="8" borderId="12" xfId="0" applyNumberFormat="1" applyFont="1" applyFill="1" applyBorder="1" applyProtection="1">
      <alignment vertical="center"/>
      <protection locked="0"/>
    </xf>
    <xf numFmtId="3" fontId="10" fillId="8" borderId="13" xfId="0" applyNumberFormat="1" applyFont="1" applyFill="1" applyBorder="1" applyProtection="1">
      <alignment vertical="center"/>
      <protection locked="0"/>
    </xf>
    <xf numFmtId="3" fontId="10" fillId="8" borderId="14" xfId="0" applyNumberFormat="1" applyFont="1" applyFill="1" applyBorder="1" applyProtection="1">
      <alignment vertical="center"/>
      <protection locked="0"/>
    </xf>
    <xf numFmtId="3" fontId="10" fillId="2" borderId="12" xfId="0" applyNumberFormat="1" applyFont="1" applyFill="1" applyBorder="1" applyProtection="1">
      <alignment vertical="center"/>
      <protection locked="0"/>
    </xf>
    <xf numFmtId="3" fontId="10" fillId="2" borderId="14" xfId="0" applyNumberFormat="1" applyFont="1" applyFill="1" applyBorder="1" applyProtection="1">
      <alignment vertical="center"/>
      <protection locked="0"/>
    </xf>
    <xf numFmtId="3" fontId="10" fillId="9" borderId="12" xfId="0" applyNumberFormat="1" applyFont="1" applyFill="1" applyBorder="1" applyProtection="1">
      <alignment vertical="center"/>
      <protection locked="0"/>
    </xf>
    <xf numFmtId="3" fontId="10" fillId="9" borderId="13" xfId="0" applyNumberFormat="1" applyFont="1" applyFill="1" applyBorder="1" applyProtection="1">
      <alignment vertical="center"/>
      <protection locked="0"/>
    </xf>
    <xf numFmtId="3" fontId="10" fillId="9" borderId="14" xfId="0" applyNumberFormat="1" applyFont="1" applyFill="1" applyBorder="1" applyProtection="1">
      <alignment vertical="center"/>
      <protection locked="0"/>
    </xf>
    <xf numFmtId="0" fontId="10" fillId="0" borderId="15" xfId="0" applyFont="1" applyBorder="1">
      <alignment vertical="center"/>
    </xf>
    <xf numFmtId="3" fontId="11" fillId="8" borderId="16" xfId="0" applyNumberFormat="1" applyFont="1" applyFill="1" applyBorder="1">
      <alignment vertical="center"/>
    </xf>
    <xf numFmtId="3" fontId="11" fillId="2" borderId="0" xfId="0" applyNumberFormat="1" applyFont="1" applyFill="1">
      <alignment vertical="center"/>
    </xf>
    <xf numFmtId="3" fontId="11" fillId="9" borderId="16" xfId="0" applyNumberFormat="1" applyFont="1" applyFill="1" applyBorder="1">
      <alignment vertical="center"/>
    </xf>
    <xf numFmtId="3" fontId="11" fillId="7" borderId="8" xfId="0" applyNumberFormat="1" applyFont="1" applyFill="1" applyBorder="1">
      <alignment vertical="center"/>
    </xf>
    <xf numFmtId="3" fontId="11" fillId="2" borderId="16" xfId="0" applyNumberFormat="1" applyFont="1" applyFill="1" applyBorder="1">
      <alignment vertical="center"/>
    </xf>
    <xf numFmtId="3" fontId="11" fillId="8" borderId="17" xfId="0" applyNumberFormat="1" applyFont="1" applyFill="1" applyBorder="1">
      <alignment vertical="center"/>
    </xf>
    <xf numFmtId="3" fontId="11" fillId="8" borderId="18" xfId="0" applyNumberFormat="1" applyFont="1" applyFill="1" applyBorder="1">
      <alignment vertical="center"/>
    </xf>
    <xf numFmtId="3" fontId="11" fillId="2" borderId="17" xfId="0" applyNumberFormat="1" applyFont="1" applyFill="1" applyBorder="1">
      <alignment vertical="center"/>
    </xf>
    <xf numFmtId="3" fontId="11" fillId="2" borderId="18" xfId="0" applyNumberFormat="1" applyFont="1" applyFill="1" applyBorder="1">
      <alignment vertical="center"/>
    </xf>
    <xf numFmtId="3" fontId="11" fillId="9" borderId="17" xfId="0" applyNumberFormat="1" applyFont="1" applyFill="1" applyBorder="1">
      <alignment vertical="center"/>
    </xf>
    <xf numFmtId="3" fontId="11" fillId="9" borderId="18" xfId="0" applyNumberFormat="1" applyFont="1" applyFill="1" applyBorder="1">
      <alignment vertical="center"/>
    </xf>
    <xf numFmtId="3" fontId="11" fillId="9" borderId="19" xfId="0" applyNumberFormat="1" applyFont="1" applyFill="1" applyBorder="1">
      <alignment vertical="center"/>
    </xf>
    <xf numFmtId="0" fontId="10" fillId="0" borderId="16" xfId="0" applyFont="1" applyBorder="1">
      <alignment vertical="center"/>
    </xf>
    <xf numFmtId="3" fontId="10" fillId="2" borderId="20" xfId="0" applyNumberFormat="1" applyFont="1" applyFill="1" applyBorder="1" applyProtection="1">
      <alignment vertical="center"/>
      <protection locked="0"/>
    </xf>
    <xf numFmtId="3" fontId="10" fillId="7" borderId="20" xfId="0" applyNumberFormat="1" applyFont="1" applyFill="1" applyBorder="1" applyProtection="1">
      <alignment vertical="center"/>
      <protection locked="0"/>
    </xf>
    <xf numFmtId="3" fontId="10" fillId="8" borderId="16" xfId="0" applyNumberFormat="1" applyFont="1" applyFill="1" applyBorder="1" applyProtection="1">
      <alignment vertical="center"/>
      <protection locked="0"/>
    </xf>
    <xf numFmtId="3" fontId="10" fillId="2" borderId="16" xfId="0" applyNumberFormat="1" applyFont="1" applyFill="1" applyBorder="1" applyProtection="1">
      <alignment vertical="center"/>
      <protection locked="0"/>
    </xf>
    <xf numFmtId="3" fontId="10" fillId="9" borderId="16" xfId="0" applyNumberFormat="1" applyFont="1" applyFill="1" applyBorder="1" applyProtection="1">
      <alignment vertical="center"/>
      <protection locked="0"/>
    </xf>
    <xf numFmtId="3" fontId="11" fillId="8" borderId="21" xfId="0" applyNumberFormat="1" applyFont="1" applyFill="1" applyBorder="1">
      <alignment vertical="center"/>
    </xf>
    <xf numFmtId="3" fontId="11" fillId="8" borderId="22" xfId="0" applyNumberFormat="1" applyFont="1" applyFill="1" applyBorder="1">
      <alignment vertical="center"/>
    </xf>
    <xf numFmtId="3" fontId="11" fillId="2" borderId="21" xfId="0" applyNumberFormat="1" applyFont="1" applyFill="1" applyBorder="1">
      <alignment vertical="center"/>
    </xf>
    <xf numFmtId="3" fontId="11" fillId="2" borderId="22" xfId="0" applyNumberFormat="1" applyFont="1" applyFill="1" applyBorder="1">
      <alignment vertical="center"/>
    </xf>
    <xf numFmtId="3" fontId="11" fillId="9" borderId="21" xfId="0" applyNumberFormat="1" applyFont="1" applyFill="1" applyBorder="1">
      <alignment vertical="center"/>
    </xf>
    <xf numFmtId="3" fontId="11" fillId="9" borderId="22" xfId="0" applyNumberFormat="1" applyFont="1" applyFill="1" applyBorder="1">
      <alignment vertical="center"/>
    </xf>
    <xf numFmtId="3" fontId="11" fillId="9" borderId="3" xfId="0" applyNumberFormat="1" applyFont="1" applyFill="1" applyBorder="1">
      <alignment vertical="center"/>
    </xf>
    <xf numFmtId="0" fontId="10" fillId="0" borderId="23" xfId="0" applyFont="1" applyBorder="1">
      <alignment vertical="center"/>
    </xf>
    <xf numFmtId="0" fontId="10" fillId="0" borderId="18" xfId="0" applyFont="1" applyBorder="1">
      <alignment vertical="center"/>
    </xf>
    <xf numFmtId="3" fontId="10" fillId="8" borderId="7" xfId="0" applyNumberFormat="1" applyFont="1" applyFill="1" applyBorder="1" applyProtection="1">
      <alignment vertical="center"/>
      <protection locked="0"/>
    </xf>
    <xf numFmtId="3" fontId="10" fillId="8" borderId="0" xfId="0" applyNumberFormat="1" applyFont="1" applyFill="1" applyProtection="1">
      <alignment vertical="center"/>
      <protection locked="0"/>
    </xf>
    <xf numFmtId="3" fontId="10" fillId="9" borderId="7" xfId="0" applyNumberFormat="1" applyFont="1" applyFill="1" applyBorder="1" applyProtection="1">
      <alignment vertical="center"/>
      <protection locked="0"/>
    </xf>
    <xf numFmtId="3" fontId="10" fillId="9" borderId="0" xfId="0" applyNumberFormat="1" applyFont="1" applyFill="1" applyProtection="1">
      <alignment vertical="center"/>
      <protection locked="0"/>
    </xf>
    <xf numFmtId="3" fontId="10" fillId="2" borderId="11" xfId="0" applyNumberFormat="1" applyFont="1" applyFill="1" applyBorder="1" applyProtection="1">
      <alignment vertical="center"/>
      <protection locked="0"/>
    </xf>
    <xf numFmtId="3" fontId="10" fillId="8" borderId="10" xfId="0" applyNumberFormat="1" applyFont="1" applyFill="1" applyBorder="1" applyProtection="1">
      <alignment vertical="center"/>
      <protection locked="0"/>
    </xf>
    <xf numFmtId="3" fontId="10" fillId="8" borderId="24" xfId="0" applyNumberFormat="1" applyFont="1" applyFill="1" applyBorder="1" applyProtection="1">
      <alignment vertical="center"/>
      <protection locked="0"/>
    </xf>
    <xf numFmtId="3" fontId="10" fillId="8" borderId="11" xfId="0" applyNumberFormat="1" applyFont="1" applyFill="1" applyBorder="1" applyProtection="1">
      <alignment vertical="center"/>
      <protection locked="0"/>
    </xf>
    <xf numFmtId="3" fontId="10" fillId="2" borderId="10" xfId="0" applyNumberFormat="1" applyFont="1" applyFill="1" applyBorder="1" applyProtection="1">
      <alignment vertical="center"/>
      <protection locked="0"/>
    </xf>
    <xf numFmtId="3" fontId="10" fillId="9" borderId="10" xfId="0" applyNumberFormat="1" applyFont="1" applyFill="1" applyBorder="1" applyProtection="1">
      <alignment vertical="center"/>
      <protection locked="0"/>
    </xf>
    <xf numFmtId="3" fontId="10" fillId="9" borderId="24" xfId="0" applyNumberFormat="1" applyFont="1" applyFill="1" applyBorder="1" applyProtection="1">
      <alignment vertical="center"/>
      <protection locked="0"/>
    </xf>
    <xf numFmtId="3" fontId="11" fillId="2" borderId="4" xfId="0" applyNumberFormat="1" applyFont="1" applyFill="1" applyBorder="1">
      <alignment vertical="center"/>
    </xf>
    <xf numFmtId="0" fontId="12" fillId="0" borderId="0" xfId="0" applyFont="1" applyAlignment="1">
      <alignment horizontal="left" vertical="center" indent="1"/>
    </xf>
    <xf numFmtId="0" fontId="11" fillId="0" borderId="0" xfId="0" applyFont="1">
      <alignment vertical="center"/>
    </xf>
    <xf numFmtId="37" fontId="10" fillId="0" borderId="6" xfId="0" applyNumberFormat="1" applyFont="1" applyBorder="1" applyAlignment="1">
      <alignment horizontal="left" vertical="center" textRotation="75"/>
    </xf>
    <xf numFmtId="37" fontId="10" fillId="0" borderId="7" xfId="0" applyNumberFormat="1" applyFont="1" applyBorder="1" applyAlignment="1">
      <alignment horizontal="left" vertical="center" textRotation="75"/>
    </xf>
    <xf numFmtId="37" fontId="10" fillId="0" borderId="8" xfId="0" applyNumberFormat="1" applyFont="1" applyBorder="1" applyAlignment="1">
      <alignment horizontal="left" vertical="center" textRotation="75"/>
    </xf>
    <xf numFmtId="37" fontId="10" fillId="3" borderId="6" xfId="0" applyNumberFormat="1" applyFont="1" applyFill="1" applyBorder="1" applyAlignment="1">
      <alignment horizontal="left" vertical="center" textRotation="75"/>
    </xf>
    <xf numFmtId="37" fontId="10" fillId="3" borderId="7" xfId="0" applyNumberFormat="1" applyFont="1" applyFill="1" applyBorder="1" applyAlignment="1">
      <alignment horizontal="left" vertical="center" textRotation="75"/>
    </xf>
    <xf numFmtId="37" fontId="10" fillId="3" borderId="7" xfId="0" applyNumberFormat="1" applyFont="1" applyFill="1" applyBorder="1" applyAlignment="1">
      <alignment vertical="center" textRotation="75"/>
    </xf>
    <xf numFmtId="37" fontId="10" fillId="3" borderId="8" xfId="0" applyNumberFormat="1" applyFont="1" applyFill="1" applyBorder="1" applyAlignment="1">
      <alignment vertical="center" textRotation="75"/>
    </xf>
    <xf numFmtId="37" fontId="10" fillId="4" borderId="6" xfId="0" applyNumberFormat="1" applyFont="1" applyFill="1" applyBorder="1" applyAlignment="1">
      <alignment vertical="center" textRotation="75"/>
    </xf>
    <xf numFmtId="37" fontId="10" fillId="4" borderId="7" xfId="0" applyNumberFormat="1" applyFont="1" applyFill="1" applyBorder="1" applyAlignment="1">
      <alignment vertical="center" textRotation="75"/>
    </xf>
    <xf numFmtId="37" fontId="10" fillId="4" borderId="8" xfId="0" applyNumberFormat="1" applyFont="1" applyFill="1" applyBorder="1" applyAlignment="1">
      <alignment vertical="center" textRotation="75"/>
    </xf>
    <xf numFmtId="37" fontId="10" fillId="5" borderId="6" xfId="0" applyNumberFormat="1" applyFont="1" applyFill="1" applyBorder="1" applyAlignment="1">
      <alignment vertical="center" textRotation="75"/>
    </xf>
    <xf numFmtId="37" fontId="10" fillId="5" borderId="8" xfId="0" applyNumberFormat="1" applyFont="1" applyFill="1" applyBorder="1" applyAlignment="1">
      <alignment vertical="center" textRotation="75"/>
    </xf>
    <xf numFmtId="37" fontId="10" fillId="6" borderId="6" xfId="0" applyNumberFormat="1" applyFont="1" applyFill="1" applyBorder="1" applyAlignment="1">
      <alignment vertical="center" textRotation="75"/>
    </xf>
    <xf numFmtId="37" fontId="10" fillId="6" borderId="7" xfId="0" applyNumberFormat="1" applyFont="1" applyFill="1" applyBorder="1" applyAlignment="1">
      <alignment vertical="center" textRotation="75"/>
    </xf>
    <xf numFmtId="37" fontId="10" fillId="6" borderId="8" xfId="0" applyNumberFormat="1" applyFont="1" applyFill="1" applyBorder="1" applyAlignment="1">
      <alignment vertical="center" textRotation="75"/>
    </xf>
    <xf numFmtId="0" fontId="11" fillId="0" borderId="1" xfId="0" applyFont="1" applyBorder="1">
      <alignment vertical="center"/>
    </xf>
    <xf numFmtId="0" fontId="11" fillId="0" borderId="22" xfId="0" applyFont="1" applyBorder="1">
      <alignment vertical="center"/>
    </xf>
    <xf numFmtId="3" fontId="11" fillId="7" borderId="25" xfId="0" applyNumberFormat="1" applyFont="1" applyFill="1" applyBorder="1">
      <alignment vertical="center"/>
    </xf>
    <xf numFmtId="3" fontId="11" fillId="5" borderId="6" xfId="0" applyNumberFormat="1" applyFont="1" applyFill="1" applyBorder="1">
      <alignment vertical="center"/>
    </xf>
    <xf numFmtId="3" fontId="11" fillId="5" borderId="7" xfId="0" applyNumberFormat="1" applyFont="1" applyFill="1" applyBorder="1">
      <alignment vertical="center"/>
    </xf>
    <xf numFmtId="3" fontId="11" fillId="5" borderId="8" xfId="0" applyNumberFormat="1" applyFont="1" applyFill="1" applyBorder="1">
      <alignment vertical="center"/>
    </xf>
    <xf numFmtId="3" fontId="11" fillId="2" borderId="25" xfId="0" applyNumberFormat="1" applyFont="1" applyFill="1" applyBorder="1">
      <alignment vertical="center"/>
    </xf>
    <xf numFmtId="3" fontId="11" fillId="9" borderId="6" xfId="0" applyNumberFormat="1" applyFont="1" applyFill="1" applyBorder="1">
      <alignment vertical="center"/>
    </xf>
    <xf numFmtId="3" fontId="11" fillId="9" borderId="7" xfId="0" applyNumberFormat="1" applyFont="1" applyFill="1" applyBorder="1">
      <alignment vertical="center"/>
    </xf>
    <xf numFmtId="0" fontId="11" fillId="0" borderId="6" xfId="0" applyFont="1" applyBorder="1">
      <alignment vertical="center"/>
    </xf>
    <xf numFmtId="0" fontId="13" fillId="0" borderId="26" xfId="0" applyFont="1" applyBorder="1">
      <alignment vertical="center"/>
    </xf>
    <xf numFmtId="0" fontId="11" fillId="0" borderId="25" xfId="0" applyFont="1" applyBorder="1">
      <alignment vertical="center"/>
    </xf>
    <xf numFmtId="0" fontId="10" fillId="0" borderId="20" xfId="0" applyFont="1" applyBorder="1">
      <alignment vertical="center"/>
    </xf>
    <xf numFmtId="3" fontId="10" fillId="7" borderId="27" xfId="0" applyNumberFormat="1" applyFont="1" applyFill="1" applyBorder="1" applyProtection="1">
      <alignment vertical="center"/>
      <protection locked="0"/>
    </xf>
    <xf numFmtId="3" fontId="10" fillId="5" borderId="20" xfId="0" applyNumberFormat="1" applyFont="1" applyFill="1" applyBorder="1" applyProtection="1">
      <alignment vertical="center"/>
      <protection locked="0"/>
    </xf>
    <xf numFmtId="3" fontId="10" fillId="2" borderId="27" xfId="0" applyNumberFormat="1" applyFont="1" applyFill="1" applyBorder="1" applyProtection="1">
      <alignment vertical="center"/>
      <protection locked="0"/>
    </xf>
    <xf numFmtId="3" fontId="10" fillId="9" borderId="20" xfId="0" applyNumberFormat="1" applyFont="1" applyFill="1" applyBorder="1" applyProtection="1">
      <alignment vertical="center"/>
      <protection locked="0"/>
    </xf>
    <xf numFmtId="0" fontId="10" fillId="0" borderId="12" xfId="0" applyFont="1" applyBorder="1">
      <alignment vertical="center"/>
    </xf>
    <xf numFmtId="3" fontId="11" fillId="2" borderId="6" xfId="0" applyNumberFormat="1" applyFont="1" applyFill="1" applyBorder="1" applyProtection="1">
      <alignment vertical="center"/>
      <protection locked="0"/>
    </xf>
    <xf numFmtId="3" fontId="11" fillId="2" borderId="7" xfId="0" applyNumberFormat="1" applyFont="1" applyFill="1" applyBorder="1" applyProtection="1">
      <alignment vertical="center"/>
      <protection locked="0"/>
    </xf>
    <xf numFmtId="3" fontId="11" fillId="2" borderId="8" xfId="0" applyNumberFormat="1" applyFont="1" applyFill="1" applyBorder="1" applyProtection="1">
      <alignment vertical="center"/>
      <protection locked="0"/>
    </xf>
    <xf numFmtId="3" fontId="11" fillId="7" borderId="25" xfId="0" applyNumberFormat="1" applyFont="1" applyFill="1" applyBorder="1" applyProtection="1">
      <alignment vertical="center"/>
      <protection locked="0"/>
    </xf>
    <xf numFmtId="3" fontId="11" fillId="7" borderId="7" xfId="0" applyNumberFormat="1" applyFont="1" applyFill="1" applyBorder="1" applyProtection="1">
      <alignment vertical="center"/>
      <protection locked="0"/>
    </xf>
    <xf numFmtId="3" fontId="11" fillId="7" borderId="5" xfId="0" applyNumberFormat="1" applyFont="1" applyFill="1" applyBorder="1" applyProtection="1">
      <alignment vertical="center"/>
      <protection locked="0"/>
    </xf>
    <xf numFmtId="3" fontId="11" fillId="5" borderId="6" xfId="0" applyNumberFormat="1" applyFont="1" applyFill="1" applyBorder="1" applyProtection="1">
      <alignment vertical="center"/>
      <protection locked="0"/>
    </xf>
    <xf numFmtId="3" fontId="11" fillId="5" borderId="7" xfId="0" applyNumberFormat="1" applyFont="1" applyFill="1" applyBorder="1" applyProtection="1">
      <alignment vertical="center"/>
      <protection locked="0"/>
    </xf>
    <xf numFmtId="3" fontId="11" fillId="5" borderId="8" xfId="0" applyNumberFormat="1" applyFont="1" applyFill="1" applyBorder="1" applyProtection="1">
      <alignment vertical="center"/>
      <protection locked="0"/>
    </xf>
    <xf numFmtId="3" fontId="11" fillId="2" borderId="25" xfId="0" applyNumberFormat="1" applyFont="1" applyFill="1" applyBorder="1" applyProtection="1">
      <alignment vertical="center"/>
      <protection locked="0"/>
    </xf>
    <xf numFmtId="3" fontId="11" fillId="2" borderId="5" xfId="0" applyNumberFormat="1" applyFont="1" applyFill="1" applyBorder="1" applyProtection="1">
      <alignment vertical="center"/>
      <protection locked="0"/>
    </xf>
    <xf numFmtId="3" fontId="11" fillId="9" borderId="6" xfId="0" applyNumberFormat="1" applyFont="1" applyFill="1" applyBorder="1" applyProtection="1">
      <alignment vertical="center"/>
      <protection locked="0"/>
    </xf>
    <xf numFmtId="3" fontId="11" fillId="9" borderId="7" xfId="0" applyNumberFormat="1" applyFont="1" applyFill="1" applyBorder="1" applyProtection="1">
      <alignment vertical="center"/>
      <protection locked="0"/>
    </xf>
    <xf numFmtId="3" fontId="11" fillId="9" borderId="8" xfId="0" applyNumberFormat="1" applyFont="1" applyFill="1" applyBorder="1" applyProtection="1">
      <alignment vertical="center"/>
      <protection locked="0"/>
    </xf>
    <xf numFmtId="0" fontId="10" fillId="0" borderId="6" xfId="0" applyFont="1" applyBorder="1">
      <alignment vertical="center"/>
    </xf>
    <xf numFmtId="3" fontId="11" fillId="2" borderId="28" xfId="0" applyNumberFormat="1" applyFont="1" applyFill="1" applyBorder="1">
      <alignment vertical="center"/>
    </xf>
    <xf numFmtId="3" fontId="11" fillId="2" borderId="29" xfId="0" applyNumberFormat="1" applyFont="1" applyFill="1" applyBorder="1">
      <alignment vertical="center"/>
    </xf>
    <xf numFmtId="3" fontId="11" fillId="2" borderId="19" xfId="0" applyNumberFormat="1" applyFont="1" applyFill="1" applyBorder="1">
      <alignment vertical="center"/>
    </xf>
    <xf numFmtId="3" fontId="11" fillId="7" borderId="30" xfId="0" applyNumberFormat="1" applyFont="1" applyFill="1" applyBorder="1">
      <alignment vertical="center"/>
    </xf>
    <xf numFmtId="3" fontId="11" fillId="7" borderId="29" xfId="0" applyNumberFormat="1" applyFont="1" applyFill="1" applyBorder="1">
      <alignment vertical="center"/>
    </xf>
    <xf numFmtId="3" fontId="11" fillId="7" borderId="18" xfId="0" applyNumberFormat="1" applyFont="1" applyFill="1" applyBorder="1">
      <alignment vertical="center"/>
    </xf>
    <xf numFmtId="3" fontId="11" fillId="5" borderId="28" xfId="0" applyNumberFormat="1" applyFont="1" applyFill="1" applyBorder="1">
      <alignment vertical="center"/>
    </xf>
    <xf numFmtId="3" fontId="11" fillId="5" borderId="29" xfId="0" applyNumberFormat="1" applyFont="1" applyFill="1" applyBorder="1">
      <alignment vertical="center"/>
    </xf>
    <xf numFmtId="3" fontId="11" fillId="5" borderId="19" xfId="0" applyNumberFormat="1" applyFont="1" applyFill="1" applyBorder="1">
      <alignment vertical="center"/>
    </xf>
    <xf numFmtId="3" fontId="11" fillId="2" borderId="30" xfId="0" applyNumberFormat="1" applyFont="1" applyFill="1" applyBorder="1">
      <alignment vertical="center"/>
    </xf>
    <xf numFmtId="3" fontId="11" fillId="9" borderId="29" xfId="0" applyNumberFormat="1" applyFont="1" applyFill="1" applyBorder="1">
      <alignment vertical="center"/>
    </xf>
    <xf numFmtId="0" fontId="0" fillId="0" borderId="0" xfId="0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Protection="1">
      <alignment vertical="center"/>
      <protection locked="0"/>
    </xf>
    <xf numFmtId="0" fontId="11" fillId="0" borderId="0" xfId="2" applyFont="1" applyAlignment="1" applyProtection="1">
      <alignment horizontal="left" vertical="center" indent="1"/>
    </xf>
    <xf numFmtId="0" fontId="13" fillId="0" borderId="0" xfId="0" applyFont="1" applyAlignment="1"/>
    <xf numFmtId="3" fontId="10" fillId="0" borderId="0" xfId="1" applyNumberFormat="1" applyFont="1" applyBorder="1" applyAlignment="1" applyProtection="1">
      <alignment horizontal="right" vertical="center" wrapText="1" indent="1"/>
    </xf>
    <xf numFmtId="3" fontId="10" fillId="0" borderId="0" xfId="1" applyNumberFormat="1" applyFont="1" applyBorder="1" applyAlignment="1" applyProtection="1">
      <alignment horizontal="right" vertical="center" wrapText="1" indent="1"/>
      <protection locked="0"/>
    </xf>
    <xf numFmtId="3" fontId="10" fillId="0" borderId="0" xfId="0" applyNumberFormat="1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171" fontId="13" fillId="0" borderId="0" xfId="0" applyNumberFormat="1" applyFont="1" applyProtection="1">
      <alignment vertical="center"/>
      <protection locked="0"/>
    </xf>
    <xf numFmtId="0" fontId="13" fillId="0" borderId="0" xfId="0" applyFont="1">
      <alignment vertical="center"/>
    </xf>
    <xf numFmtId="171" fontId="13" fillId="0" borderId="0" xfId="0" applyNumberFormat="1" applyFont="1">
      <alignment vertical="center"/>
    </xf>
    <xf numFmtId="0" fontId="10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172" fontId="11" fillId="0" borderId="4" xfId="0" applyNumberFormat="1" applyFont="1" applyBorder="1">
      <alignment vertical="center"/>
    </xf>
    <xf numFmtId="4" fontId="11" fillId="0" borderId="32" xfId="0" applyNumberFormat="1" applyFont="1" applyBorder="1">
      <alignment vertical="center"/>
    </xf>
    <xf numFmtId="172" fontId="10" fillId="0" borderId="10" xfId="0" applyNumberFormat="1" applyFont="1" applyBorder="1">
      <alignment vertical="center"/>
    </xf>
    <xf numFmtId="172" fontId="10" fillId="0" borderId="34" xfId="0" applyNumberFormat="1" applyFont="1" applyBorder="1" applyAlignment="1">
      <alignment horizontal="right" vertical="center"/>
    </xf>
    <xf numFmtId="172" fontId="10" fillId="0" borderId="15" xfId="0" applyNumberFormat="1" applyFont="1" applyBorder="1">
      <alignment vertical="center"/>
    </xf>
    <xf numFmtId="172" fontId="10" fillId="0" borderId="35" xfId="0" applyNumberFormat="1" applyFont="1" applyBorder="1" applyAlignment="1">
      <alignment horizontal="right" vertical="center"/>
    </xf>
    <xf numFmtId="172" fontId="10" fillId="0" borderId="36" xfId="0" applyNumberFormat="1" applyFont="1" applyBorder="1" applyAlignment="1">
      <alignment horizontal="right" vertical="center"/>
    </xf>
    <xf numFmtId="4" fontId="10" fillId="0" borderId="34" xfId="0" applyNumberFormat="1" applyFont="1" applyBorder="1">
      <alignment vertical="center"/>
    </xf>
    <xf numFmtId="4" fontId="10" fillId="0" borderId="35" xfId="0" applyNumberFormat="1" applyFont="1" applyBorder="1">
      <alignment vertical="center"/>
    </xf>
    <xf numFmtId="4" fontId="13" fillId="0" borderId="35" xfId="0" applyNumberFormat="1" applyFont="1" applyBorder="1">
      <alignment vertical="center"/>
    </xf>
    <xf numFmtId="0" fontId="13" fillId="0" borderId="37" xfId="0" applyFont="1" applyBorder="1">
      <alignment vertical="center"/>
    </xf>
    <xf numFmtId="172" fontId="10" fillId="0" borderId="16" xfId="0" applyNumberFormat="1" applyFont="1" applyBorder="1">
      <alignment vertical="center"/>
    </xf>
    <xf numFmtId="172" fontId="10" fillId="0" borderId="34" xfId="0" applyNumberFormat="1" applyFont="1" applyBorder="1">
      <alignment vertical="center"/>
    </xf>
    <xf numFmtId="172" fontId="10" fillId="0" borderId="36" xfId="0" applyNumberFormat="1" applyFont="1" applyBorder="1">
      <alignment vertical="center"/>
    </xf>
    <xf numFmtId="4" fontId="10" fillId="0" borderId="36" xfId="0" applyNumberFormat="1" applyFont="1" applyBorder="1">
      <alignment vertical="center"/>
    </xf>
    <xf numFmtId="0" fontId="10" fillId="0" borderId="28" xfId="0" applyFont="1" applyBorder="1">
      <alignment vertical="center"/>
    </xf>
    <xf numFmtId="0" fontId="10" fillId="0" borderId="19" xfId="0" applyFont="1" applyBorder="1">
      <alignment vertical="center"/>
    </xf>
    <xf numFmtId="4" fontId="10" fillId="0" borderId="33" xfId="0" applyNumberFormat="1" applyFont="1" applyBorder="1">
      <alignment vertical="center"/>
    </xf>
    <xf numFmtId="172" fontId="11" fillId="0" borderId="38" xfId="0" applyNumberFormat="1" applyFont="1" applyBorder="1">
      <alignment vertical="center"/>
    </xf>
    <xf numFmtId="0" fontId="10" fillId="0" borderId="14" xfId="0" applyFont="1" applyBorder="1">
      <alignment vertical="center"/>
    </xf>
    <xf numFmtId="172" fontId="10" fillId="0" borderId="23" xfId="0" applyNumberFormat="1" applyFont="1" applyBorder="1">
      <alignment vertical="center"/>
    </xf>
    <xf numFmtId="4" fontId="10" fillId="0" borderId="39" xfId="0" applyNumberFormat="1" applyFont="1" applyBorder="1">
      <alignment vertical="center"/>
    </xf>
    <xf numFmtId="4" fontId="10" fillId="0" borderId="40" xfId="0" applyNumberFormat="1" applyFont="1" applyBorder="1">
      <alignment vertical="center"/>
    </xf>
    <xf numFmtId="4" fontId="11" fillId="0" borderId="34" xfId="0" applyNumberFormat="1" applyFont="1" applyBorder="1">
      <alignment vertical="center"/>
    </xf>
    <xf numFmtId="0" fontId="10" fillId="0" borderId="4" xfId="0" applyFont="1" applyBorder="1">
      <alignment vertical="center"/>
    </xf>
    <xf numFmtId="4" fontId="11" fillId="0" borderId="38" xfId="0" applyNumberFormat="1" applyFont="1" applyBorder="1">
      <alignment vertical="center"/>
    </xf>
    <xf numFmtId="0" fontId="11" fillId="0" borderId="7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31" xfId="0" applyFont="1" applyBorder="1">
      <alignment vertical="center"/>
    </xf>
    <xf numFmtId="172" fontId="10" fillId="0" borderId="39" xfId="0" applyNumberFormat="1" applyFont="1" applyBorder="1">
      <alignment vertical="center"/>
    </xf>
    <xf numFmtId="4" fontId="11" fillId="0" borderId="0" xfId="0" applyNumberFormat="1" applyFont="1">
      <alignment vertical="center"/>
    </xf>
    <xf numFmtId="172" fontId="10" fillId="0" borderId="0" xfId="0" applyNumberFormat="1" applyFont="1">
      <alignment vertical="center"/>
    </xf>
    <xf numFmtId="172" fontId="11" fillId="0" borderId="0" xfId="0" applyNumberFormat="1" applyFont="1">
      <alignment vertical="center"/>
    </xf>
    <xf numFmtId="0" fontId="0" fillId="9" borderId="0" xfId="0" applyFill="1" applyAlignment="1" applyProtection="1">
      <protection locked="0"/>
    </xf>
    <xf numFmtId="0" fontId="22" fillId="9" borderId="21" xfId="0" applyFont="1" applyFill="1" applyBorder="1" applyAlignment="1" applyProtection="1">
      <alignment horizontal="center" vertical="center" wrapText="1"/>
      <protection locked="0"/>
    </xf>
    <xf numFmtId="173" fontId="24" fillId="10" borderId="32" xfId="0" applyNumberFormat="1" applyFont="1" applyFill="1" applyBorder="1" applyAlignment="1" applyProtection="1">
      <alignment horizontal="center" vertical="center"/>
      <protection locked="0"/>
    </xf>
    <xf numFmtId="0" fontId="22" fillId="9" borderId="41" xfId="0" applyFont="1" applyFill="1" applyBorder="1" applyAlignment="1" applyProtection="1">
      <alignment horizontal="center" vertical="center" wrapText="1"/>
      <protection locked="0"/>
    </xf>
    <xf numFmtId="173" fontId="24" fillId="11" borderId="32" xfId="0" applyNumberFormat="1" applyFont="1" applyFill="1" applyBorder="1" applyAlignment="1" applyProtection="1">
      <alignment horizontal="center" vertical="center"/>
      <protection locked="0"/>
    </xf>
    <xf numFmtId="0" fontId="22" fillId="9" borderId="17" xfId="0" applyFont="1" applyFill="1" applyBorder="1" applyAlignment="1" applyProtection="1">
      <alignment horizontal="center" vertical="center" wrapText="1"/>
      <protection locked="0"/>
    </xf>
    <xf numFmtId="0" fontId="24" fillId="10" borderId="42" xfId="0" applyFont="1" applyFill="1" applyBorder="1" applyAlignment="1" applyProtection="1">
      <alignment horizontal="center" vertical="center"/>
      <protection locked="0"/>
    </xf>
    <xf numFmtId="0" fontId="22" fillId="9" borderId="27" xfId="0" applyFont="1" applyFill="1" applyBorder="1" applyAlignment="1" applyProtection="1">
      <alignment horizontal="center" vertical="center" wrapText="1"/>
      <protection locked="0"/>
    </xf>
    <xf numFmtId="0" fontId="24" fillId="11" borderId="42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5" xfId="0" applyFont="1" applyBorder="1" applyProtection="1">
      <alignment vertical="center"/>
      <protection locked="0"/>
    </xf>
    <xf numFmtId="170" fontId="23" fillId="10" borderId="38" xfId="1" applyFont="1" applyFill="1" applyBorder="1" applyProtection="1">
      <alignment vertical="center"/>
    </xf>
    <xf numFmtId="174" fontId="23" fillId="9" borderId="9" xfId="0" applyNumberFormat="1" applyFont="1" applyFill="1" applyBorder="1">
      <alignment vertical="center"/>
    </xf>
    <xf numFmtId="174" fontId="23" fillId="10" borderId="7" xfId="0" applyNumberFormat="1" applyFont="1" applyFill="1" applyBorder="1">
      <alignment vertical="center"/>
    </xf>
    <xf numFmtId="174" fontId="23" fillId="9" borderId="7" xfId="0" applyNumberFormat="1" applyFont="1" applyFill="1" applyBorder="1">
      <alignment vertical="center"/>
    </xf>
    <xf numFmtId="174" fontId="23" fillId="10" borderId="8" xfId="0" applyNumberFormat="1" applyFont="1" applyFill="1" applyBorder="1">
      <alignment vertical="center"/>
    </xf>
    <xf numFmtId="0" fontId="11" fillId="0" borderId="6" xfId="0" applyFont="1" applyBorder="1" applyProtection="1">
      <alignment vertical="center"/>
      <protection locked="0"/>
    </xf>
    <xf numFmtId="0" fontId="11" fillId="0" borderId="8" xfId="0" applyFont="1" applyBorder="1" applyProtection="1">
      <alignment vertical="center"/>
      <protection locked="0"/>
    </xf>
    <xf numFmtId="170" fontId="23" fillId="11" borderId="9" xfId="1" applyFont="1" applyFill="1" applyBorder="1" applyProtection="1">
      <alignment vertical="center"/>
    </xf>
    <xf numFmtId="174" fontId="26" fillId="9" borderId="7" xfId="0" applyNumberFormat="1" applyFont="1" applyFill="1" applyBorder="1">
      <alignment vertical="center"/>
    </xf>
    <xf numFmtId="174" fontId="26" fillId="11" borderId="7" xfId="0" applyNumberFormat="1" applyFont="1" applyFill="1" applyBorder="1">
      <alignment vertical="center"/>
    </xf>
    <xf numFmtId="174" fontId="26" fillId="11" borderId="8" xfId="0" applyNumberFormat="1" applyFont="1" applyFill="1" applyBorder="1">
      <alignment vertical="center"/>
    </xf>
    <xf numFmtId="0" fontId="10" fillId="0" borderId="43" xfId="0" applyFont="1" applyBorder="1" applyProtection="1">
      <alignment vertical="center"/>
      <protection locked="0"/>
    </xf>
    <xf numFmtId="170" fontId="23" fillId="10" borderId="33" xfId="1" applyFont="1" applyFill="1" applyBorder="1" applyProtection="1">
      <alignment vertical="center"/>
    </xf>
    <xf numFmtId="170" fontId="23" fillId="11" borderId="31" xfId="1" applyFont="1" applyFill="1" applyBorder="1" applyProtection="1">
      <alignment vertical="center"/>
    </xf>
    <xf numFmtId="0" fontId="10" fillId="0" borderId="15" xfId="0" applyFont="1" applyBorder="1" applyProtection="1">
      <alignment vertical="center"/>
      <protection locked="0"/>
    </xf>
    <xf numFmtId="0" fontId="10" fillId="0" borderId="23" xfId="0" applyFont="1" applyBorder="1" applyProtection="1">
      <alignment vertical="center"/>
      <protection locked="0"/>
    </xf>
    <xf numFmtId="170" fontId="23" fillId="11" borderId="44" xfId="1" applyFont="1" applyFill="1" applyBorder="1" applyProtection="1">
      <alignment vertical="center"/>
    </xf>
    <xf numFmtId="170" fontId="23" fillId="11" borderId="4" xfId="1" applyFont="1" applyFill="1" applyBorder="1" applyProtection="1">
      <alignment vertical="center"/>
    </xf>
    <xf numFmtId="174" fontId="23" fillId="11" borderId="7" xfId="0" applyNumberFormat="1" applyFont="1" applyFill="1" applyBorder="1">
      <alignment vertical="center"/>
    </xf>
    <xf numFmtId="174" fontId="23" fillId="11" borderId="8" xfId="0" applyNumberFormat="1" applyFont="1" applyFill="1" applyBorder="1">
      <alignment vertical="center"/>
    </xf>
    <xf numFmtId="0" fontId="10" fillId="0" borderId="10" xfId="0" applyFont="1" applyBorder="1" applyProtection="1">
      <alignment vertical="center"/>
      <protection locked="0"/>
    </xf>
    <xf numFmtId="0" fontId="10" fillId="0" borderId="11" xfId="0" applyFont="1" applyBorder="1" applyProtection="1">
      <alignment vertical="center"/>
      <protection locked="0"/>
    </xf>
    <xf numFmtId="170" fontId="23" fillId="11" borderId="33" xfId="1" applyFont="1" applyFill="1" applyBorder="1" applyProtection="1">
      <alignment vertical="center"/>
    </xf>
    <xf numFmtId="170" fontId="23" fillId="11" borderId="38" xfId="1" applyFont="1" applyFill="1" applyBorder="1" applyProtection="1">
      <alignment vertical="center"/>
    </xf>
    <xf numFmtId="0" fontId="13" fillId="0" borderId="37" xfId="0" applyFont="1" applyBorder="1" applyProtection="1">
      <alignment vertical="center"/>
      <protection locked="0"/>
    </xf>
    <xf numFmtId="174" fontId="22" fillId="9" borderId="7" xfId="0" applyNumberFormat="1" applyFont="1" applyFill="1" applyBorder="1">
      <alignment vertical="center"/>
    </xf>
    <xf numFmtId="174" fontId="22" fillId="10" borderId="7" xfId="0" applyNumberFormat="1" applyFont="1" applyFill="1" applyBorder="1">
      <alignment vertical="center"/>
    </xf>
    <xf numFmtId="0" fontId="10" fillId="0" borderId="16" xfId="0" applyFont="1" applyBorder="1" applyProtection="1">
      <alignment vertical="center"/>
      <protection locked="0"/>
    </xf>
    <xf numFmtId="0" fontId="10" fillId="0" borderId="28" xfId="0" applyFont="1" applyBorder="1" applyProtection="1">
      <alignment vertical="center"/>
      <protection locked="0"/>
    </xf>
    <xf numFmtId="0" fontId="10" fillId="0" borderId="19" xfId="0" applyFont="1" applyBorder="1" applyProtection="1">
      <alignment vertical="center"/>
      <protection locked="0"/>
    </xf>
    <xf numFmtId="170" fontId="23" fillId="11" borderId="45" xfId="1" applyFont="1" applyFill="1" applyBorder="1" applyProtection="1">
      <alignment vertical="center"/>
    </xf>
    <xf numFmtId="174" fontId="22" fillId="11" borderId="7" xfId="0" applyNumberFormat="1" applyFont="1" applyFill="1" applyBorder="1">
      <alignment vertical="center"/>
    </xf>
    <xf numFmtId="174" fontId="22" fillId="11" borderId="8" xfId="0" applyNumberFormat="1" applyFont="1" applyFill="1" applyBorder="1">
      <alignment vertical="center"/>
    </xf>
    <xf numFmtId="170" fontId="23" fillId="11" borderId="46" xfId="1" applyFont="1" applyFill="1" applyBorder="1" applyProtection="1">
      <alignment vertical="center"/>
    </xf>
    <xf numFmtId="0" fontId="10" fillId="0" borderId="20" xfId="0" applyFont="1" applyBorder="1" applyProtection="1">
      <alignment vertical="center"/>
      <protection locked="0"/>
    </xf>
    <xf numFmtId="0" fontId="10" fillId="0" borderId="12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170" fontId="23" fillId="11" borderId="47" xfId="1" applyFont="1" applyFill="1" applyBorder="1" applyProtection="1">
      <alignment vertical="center"/>
    </xf>
    <xf numFmtId="174" fontId="0" fillId="9" borderId="7" xfId="0" applyNumberFormat="1" applyFill="1" applyBorder="1" applyAlignment="1"/>
    <xf numFmtId="174" fontId="0" fillId="11" borderId="7" xfId="0" applyNumberFormat="1" applyFill="1" applyBorder="1" applyAlignment="1" applyProtection="1">
      <protection locked="0"/>
    </xf>
    <xf numFmtId="174" fontId="0" fillId="9" borderId="7" xfId="0" applyNumberFormat="1" applyFill="1" applyBorder="1" applyAlignment="1" applyProtection="1">
      <protection locked="0"/>
    </xf>
    <xf numFmtId="174" fontId="0" fillId="11" borderId="8" xfId="0" applyNumberFormat="1" applyFill="1" applyBorder="1" applyAlignment="1" applyProtection="1">
      <protection locked="0"/>
    </xf>
    <xf numFmtId="174" fontId="0" fillId="9" borderId="25" xfId="0" applyNumberFormat="1" applyFill="1" applyBorder="1" applyAlignment="1"/>
    <xf numFmtId="174" fontId="0" fillId="10" borderId="7" xfId="0" applyNumberFormat="1" applyFill="1" applyBorder="1" applyAlignment="1"/>
    <xf numFmtId="174" fontId="0" fillId="10" borderId="5" xfId="0" applyNumberFormat="1" applyFill="1" applyBorder="1" applyAlignment="1"/>
    <xf numFmtId="0" fontId="10" fillId="0" borderId="38" xfId="0" applyFont="1" applyBorder="1" applyProtection="1">
      <alignment vertical="center"/>
      <protection locked="0"/>
    </xf>
    <xf numFmtId="174" fontId="0" fillId="11" borderId="7" xfId="0" applyNumberFormat="1" applyFill="1" applyBorder="1" applyAlignment="1"/>
    <xf numFmtId="174" fontId="0" fillId="11" borderId="8" xfId="0" applyNumberFormat="1" applyFill="1" applyBorder="1" applyAlignment="1"/>
    <xf numFmtId="0" fontId="11" fillId="0" borderId="0" xfId="0" applyFont="1" applyProtection="1">
      <alignment vertical="center"/>
      <protection locked="0"/>
    </xf>
    <xf numFmtId="3" fontId="0" fillId="9" borderId="0" xfId="0" applyNumberFormat="1" applyFill="1" applyAlignment="1" applyProtection="1">
      <protection locked="0"/>
    </xf>
    <xf numFmtId="0" fontId="0" fillId="9" borderId="6" xfId="0" applyFill="1" applyBorder="1" applyAlignment="1" applyProtection="1">
      <protection locked="0"/>
    </xf>
    <xf numFmtId="0" fontId="0" fillId="9" borderId="38" xfId="0" applyFill="1" applyBorder="1" applyAlignment="1" applyProtection="1">
      <protection locked="0"/>
    </xf>
    <xf numFmtId="175" fontId="0" fillId="10" borderId="6" xfId="0" applyNumberFormat="1" applyFill="1" applyBorder="1" applyAlignment="1">
      <alignment horizontal="center" vertical="center"/>
    </xf>
    <xf numFmtId="175" fontId="0" fillId="9" borderId="7" xfId="0" applyNumberFormat="1" applyFill="1" applyBorder="1" applyAlignment="1">
      <alignment horizontal="center" vertical="center"/>
    </xf>
    <xf numFmtId="175" fontId="0" fillId="10" borderId="7" xfId="0" applyNumberFormat="1" applyFill="1" applyBorder="1" applyAlignment="1">
      <alignment horizontal="center" vertical="center"/>
    </xf>
    <xf numFmtId="0" fontId="0" fillId="9" borderId="0" xfId="0" applyFill="1" applyAlignment="1" applyProtection="1">
      <alignment horizontal="center" vertical="center"/>
      <protection locked="0"/>
    </xf>
    <xf numFmtId="0" fontId="0" fillId="9" borderId="4" xfId="0" applyFill="1" applyBorder="1" applyAlignment="1" applyProtection="1">
      <protection locked="0"/>
    </xf>
    <xf numFmtId="3" fontId="0" fillId="10" borderId="6" xfId="0" applyNumberFormat="1" applyFill="1" applyBorder="1" applyAlignment="1">
      <alignment horizontal="center" vertical="center"/>
    </xf>
    <xf numFmtId="3" fontId="0" fillId="9" borderId="7" xfId="0" applyNumberFormat="1" applyFill="1" applyBorder="1" applyAlignment="1">
      <alignment horizontal="center" vertical="center"/>
    </xf>
    <xf numFmtId="3" fontId="0" fillId="10" borderId="7" xfId="0" applyNumberForma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0" fillId="9" borderId="0" xfId="0" applyFont="1" applyFill="1" applyAlignment="1" applyProtection="1">
      <protection locked="0"/>
    </xf>
    <xf numFmtId="0" fontId="10" fillId="9" borderId="4" xfId="0" applyFont="1" applyFill="1" applyBorder="1" applyAlignment="1" applyProtection="1">
      <protection locked="0"/>
    </xf>
    <xf numFmtId="3" fontId="10" fillId="10" borderId="6" xfId="0" applyNumberFormat="1" applyFont="1" applyFill="1" applyBorder="1" applyAlignment="1">
      <alignment horizontal="center" vertical="center"/>
    </xf>
    <xf numFmtId="3" fontId="28" fillId="9" borderId="6" xfId="0" applyNumberFormat="1" applyFont="1" applyFill="1" applyBorder="1" applyAlignment="1">
      <alignment horizontal="center" vertical="center"/>
    </xf>
    <xf numFmtId="3" fontId="10" fillId="9" borderId="6" xfId="0" applyNumberFormat="1" applyFont="1" applyFill="1" applyBorder="1" applyAlignment="1">
      <alignment horizontal="center" vertical="center"/>
    </xf>
    <xf numFmtId="3" fontId="28" fillId="10" borderId="6" xfId="0" applyNumberFormat="1" applyFont="1" applyFill="1" applyBorder="1" applyAlignment="1">
      <alignment horizontal="center" vertical="center"/>
    </xf>
    <xf numFmtId="0" fontId="29" fillId="9" borderId="0" xfId="0" applyFont="1" applyFill="1" applyAlignment="1" applyProtection="1">
      <alignment horizontal="center" vertical="center"/>
      <protection locked="0"/>
    </xf>
    <xf numFmtId="0" fontId="14" fillId="9" borderId="0" xfId="0" applyFont="1" applyFill="1" applyAlignment="1" applyProtection="1">
      <alignment horizontal="center" vertical="center"/>
      <protection locked="0"/>
    </xf>
    <xf numFmtId="176" fontId="0" fillId="10" borderId="6" xfId="0" applyNumberFormat="1" applyFill="1" applyBorder="1" applyAlignment="1">
      <alignment horizontal="center" vertical="center"/>
    </xf>
    <xf numFmtId="176" fontId="29" fillId="9" borderId="6" xfId="0" applyNumberFormat="1" applyFont="1" applyFill="1" applyBorder="1" applyAlignment="1">
      <alignment horizontal="center" vertical="center"/>
    </xf>
    <xf numFmtId="176" fontId="0" fillId="9" borderId="6" xfId="0" applyNumberFormat="1" applyFill="1" applyBorder="1" applyAlignment="1">
      <alignment horizontal="center" vertical="center"/>
    </xf>
    <xf numFmtId="176" fontId="29" fillId="10" borderId="6" xfId="0" applyNumberFormat="1" applyFont="1" applyFill="1" applyBorder="1" applyAlignment="1">
      <alignment horizontal="center" vertical="center"/>
    </xf>
    <xf numFmtId="176" fontId="14" fillId="10" borderId="6" xfId="0" applyNumberFormat="1" applyFont="1" applyFill="1" applyBorder="1" applyAlignment="1">
      <alignment horizontal="center" vertical="center"/>
    </xf>
    <xf numFmtId="176" fontId="14" fillId="9" borderId="6" xfId="0" applyNumberFormat="1" applyFont="1" applyFill="1" applyBorder="1" applyAlignment="1">
      <alignment horizontal="center" vertical="center"/>
    </xf>
    <xf numFmtId="1" fontId="0" fillId="10" borderId="38" xfId="0" applyNumberFormat="1" applyFill="1" applyBorder="1" applyAlignment="1">
      <alignment horizontal="center" vertical="center"/>
    </xf>
    <xf numFmtId="1" fontId="0" fillId="9" borderId="9" xfId="0" applyNumberForma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left" vertical="center" textRotation="75"/>
    </xf>
    <xf numFmtId="49" fontId="10" fillId="0" borderId="8" xfId="0" applyNumberFormat="1" applyFont="1" applyBorder="1" applyAlignment="1">
      <alignment horizontal="left" vertical="center" textRotation="75"/>
    </xf>
    <xf numFmtId="49" fontId="10" fillId="3" borderId="6" xfId="0" applyNumberFormat="1" applyFont="1" applyFill="1" applyBorder="1" applyAlignment="1">
      <alignment horizontal="left" vertical="center" textRotation="75"/>
    </xf>
    <xf numFmtId="49" fontId="10" fillId="3" borderId="7" xfId="0" applyNumberFormat="1" applyFont="1" applyFill="1" applyBorder="1" applyAlignment="1">
      <alignment horizontal="left" vertical="center" textRotation="75"/>
    </xf>
    <xf numFmtId="49" fontId="10" fillId="3" borderId="7" xfId="0" applyNumberFormat="1" applyFont="1" applyFill="1" applyBorder="1" applyAlignment="1">
      <alignment vertical="center" textRotation="75"/>
    </xf>
    <xf numFmtId="49" fontId="10" fillId="3" borderId="8" xfId="0" applyNumberFormat="1" applyFont="1" applyFill="1" applyBorder="1" applyAlignment="1">
      <alignment vertical="center" textRotation="75"/>
    </xf>
    <xf numFmtId="49" fontId="10" fillId="4" borderId="6" xfId="0" applyNumberFormat="1" applyFont="1" applyFill="1" applyBorder="1" applyAlignment="1">
      <alignment vertical="center" textRotation="75"/>
    </xf>
    <xf numFmtId="49" fontId="10" fillId="4" borderId="7" xfId="0" applyNumberFormat="1" applyFont="1" applyFill="1" applyBorder="1" applyAlignment="1">
      <alignment vertical="center" textRotation="75"/>
    </xf>
    <xf numFmtId="49" fontId="10" fillId="4" borderId="8" xfId="0" applyNumberFormat="1" applyFont="1" applyFill="1" applyBorder="1" applyAlignment="1">
      <alignment vertical="center" textRotation="75"/>
    </xf>
    <xf numFmtId="49" fontId="10" fillId="5" borderId="6" xfId="0" applyNumberFormat="1" applyFont="1" applyFill="1" applyBorder="1" applyAlignment="1">
      <alignment vertical="center" textRotation="75"/>
    </xf>
    <xf numFmtId="49" fontId="10" fillId="5" borderId="8" xfId="0" applyNumberFormat="1" applyFont="1" applyFill="1" applyBorder="1" applyAlignment="1">
      <alignment vertical="center" textRotation="75"/>
    </xf>
    <xf numFmtId="49" fontId="10" fillId="6" borderId="6" xfId="0" applyNumberFormat="1" applyFont="1" applyFill="1" applyBorder="1" applyAlignment="1">
      <alignment vertical="center" textRotation="75"/>
    </xf>
    <xf numFmtId="49" fontId="10" fillId="6" borderId="7" xfId="0" applyNumberFormat="1" applyFont="1" applyFill="1" applyBorder="1" applyAlignment="1">
      <alignment vertical="center" textRotation="75"/>
    </xf>
    <xf numFmtId="49" fontId="10" fillId="6" borderId="8" xfId="0" applyNumberFormat="1" applyFont="1" applyFill="1" applyBorder="1" applyAlignment="1">
      <alignment vertical="center" textRotation="75"/>
    </xf>
    <xf numFmtId="3" fontId="32" fillId="12" borderId="25" xfId="0" applyNumberFormat="1" applyFont="1" applyFill="1" applyBorder="1">
      <alignment vertical="center"/>
    </xf>
    <xf numFmtId="3" fontId="32" fillId="12" borderId="7" xfId="0" applyNumberFormat="1" applyFont="1" applyFill="1" applyBorder="1">
      <alignment vertical="center"/>
    </xf>
    <xf numFmtId="3" fontId="32" fillId="12" borderId="5" xfId="0" applyNumberFormat="1" applyFont="1" applyFill="1" applyBorder="1">
      <alignment vertical="center"/>
    </xf>
    <xf numFmtId="3" fontId="33" fillId="12" borderId="27" xfId="0" applyNumberFormat="1" applyFont="1" applyFill="1" applyBorder="1" applyProtection="1">
      <alignment vertical="center"/>
      <protection locked="0"/>
    </xf>
    <xf numFmtId="3" fontId="32" fillId="12" borderId="25" xfId="0" applyNumberFormat="1" applyFont="1" applyFill="1" applyBorder="1" applyProtection="1">
      <alignment vertical="center"/>
      <protection locked="0"/>
    </xf>
    <xf numFmtId="3" fontId="32" fillId="12" borderId="7" xfId="0" applyNumberFormat="1" applyFont="1" applyFill="1" applyBorder="1" applyProtection="1">
      <alignment vertical="center"/>
      <protection locked="0"/>
    </xf>
    <xf numFmtId="3" fontId="32" fillId="12" borderId="5" xfId="0" applyNumberFormat="1" applyFont="1" applyFill="1" applyBorder="1" applyProtection="1">
      <alignment vertical="center"/>
      <protection locked="0"/>
    </xf>
    <xf numFmtId="3" fontId="32" fillId="12" borderId="30" xfId="0" applyNumberFormat="1" applyFont="1" applyFill="1" applyBorder="1">
      <alignment vertical="center"/>
    </xf>
    <xf numFmtId="3" fontId="32" fillId="12" borderId="29" xfId="0" applyNumberFormat="1" applyFont="1" applyFill="1" applyBorder="1">
      <alignment vertical="center"/>
    </xf>
    <xf numFmtId="3" fontId="32" fillId="12" borderId="18" xfId="0" applyNumberFormat="1" applyFont="1" applyFill="1" applyBorder="1">
      <alignment vertical="center"/>
    </xf>
    <xf numFmtId="0" fontId="35" fillId="0" borderId="0" xfId="0" applyFont="1" applyProtection="1">
      <alignment vertical="center"/>
      <protection locked="0"/>
    </xf>
    <xf numFmtId="3" fontId="32" fillId="12" borderId="6" xfId="0" applyNumberFormat="1" applyFont="1" applyFill="1" applyBorder="1">
      <alignment vertical="center"/>
    </xf>
    <xf numFmtId="3" fontId="32" fillId="12" borderId="8" xfId="0" applyNumberFormat="1" applyFont="1" applyFill="1" applyBorder="1">
      <alignment vertical="center"/>
    </xf>
    <xf numFmtId="3" fontId="33" fillId="12" borderId="20" xfId="0" applyNumberFormat="1" applyFont="1" applyFill="1" applyBorder="1" applyProtection="1">
      <alignment vertical="center"/>
      <protection locked="0"/>
    </xf>
    <xf numFmtId="3" fontId="32" fillId="0" borderId="4" xfId="0" applyNumberFormat="1" applyFont="1" applyBorder="1">
      <alignment vertical="center"/>
    </xf>
    <xf numFmtId="3" fontId="32" fillId="0" borderId="5" xfId="0" applyNumberFormat="1" applyFont="1" applyBorder="1">
      <alignment vertical="center"/>
    </xf>
    <xf numFmtId="3" fontId="32" fillId="0" borderId="8" xfId="0" applyNumberFormat="1" applyFont="1" applyBorder="1">
      <alignment vertical="center"/>
    </xf>
    <xf numFmtId="3" fontId="33" fillId="0" borderId="12" xfId="0" applyNumberFormat="1" applyFont="1" applyBorder="1" applyProtection="1">
      <alignment vertical="center"/>
      <protection locked="0"/>
    </xf>
    <xf numFmtId="3" fontId="33" fillId="0" borderId="13" xfId="0" applyNumberFormat="1" applyFont="1" applyBorder="1" applyProtection="1">
      <alignment vertical="center"/>
      <protection locked="0"/>
    </xf>
    <xf numFmtId="3" fontId="33" fillId="0" borderId="14" xfId="0" applyNumberFormat="1" applyFont="1" applyBorder="1" applyProtection="1">
      <alignment vertical="center"/>
      <protection locked="0"/>
    </xf>
    <xf numFmtId="3" fontId="32" fillId="0" borderId="16" xfId="0" applyNumberFormat="1" applyFont="1" applyBorder="1">
      <alignment vertical="center"/>
    </xf>
    <xf numFmtId="3" fontId="32" fillId="0" borderId="17" xfId="0" applyNumberFormat="1" applyFont="1" applyBorder="1">
      <alignment vertical="center"/>
    </xf>
    <xf numFmtId="3" fontId="32" fillId="0" borderId="18" xfId="0" applyNumberFormat="1" applyFont="1" applyBorder="1">
      <alignment vertical="center"/>
    </xf>
    <xf numFmtId="3" fontId="32" fillId="0" borderId="19" xfId="0" applyNumberFormat="1" applyFont="1" applyBorder="1">
      <alignment vertical="center"/>
    </xf>
    <xf numFmtId="3" fontId="33" fillId="0" borderId="16" xfId="0" applyNumberFormat="1" applyFont="1" applyBorder="1" applyProtection="1">
      <alignment vertical="center"/>
      <protection locked="0"/>
    </xf>
    <xf numFmtId="3" fontId="32" fillId="0" borderId="21" xfId="0" applyNumberFormat="1" applyFont="1" applyBorder="1">
      <alignment vertical="center"/>
    </xf>
    <xf numFmtId="3" fontId="32" fillId="0" borderId="22" xfId="0" applyNumberFormat="1" applyFont="1" applyBorder="1">
      <alignment vertical="center"/>
    </xf>
    <xf numFmtId="3" fontId="32" fillId="0" borderId="3" xfId="0" applyNumberFormat="1" applyFont="1" applyBorder="1">
      <alignment vertical="center"/>
    </xf>
    <xf numFmtId="3" fontId="33" fillId="0" borderId="7" xfId="0" applyNumberFormat="1" applyFont="1" applyBorder="1" applyProtection="1">
      <alignment vertical="center"/>
      <protection locked="0"/>
    </xf>
    <xf numFmtId="3" fontId="33" fillId="0" borderId="0" xfId="0" applyNumberFormat="1" applyFont="1" applyProtection="1">
      <alignment vertical="center"/>
      <protection locked="0"/>
    </xf>
    <xf numFmtId="3" fontId="33" fillId="0" borderId="10" xfId="0" applyNumberFormat="1" applyFont="1" applyBorder="1" applyProtection="1">
      <alignment vertical="center"/>
      <protection locked="0"/>
    </xf>
    <xf numFmtId="3" fontId="33" fillId="0" borderId="24" xfId="0" applyNumberFormat="1" applyFont="1" applyBorder="1" applyProtection="1">
      <alignment vertical="center"/>
      <protection locked="0"/>
    </xf>
    <xf numFmtId="3" fontId="32" fillId="0" borderId="6" xfId="0" applyNumberFormat="1" applyFont="1" applyBorder="1">
      <alignment vertical="center"/>
    </xf>
    <xf numFmtId="3" fontId="32" fillId="0" borderId="7" xfId="0" applyNumberFormat="1" applyFont="1" applyBorder="1">
      <alignment vertical="center"/>
    </xf>
    <xf numFmtId="3" fontId="33" fillId="0" borderId="20" xfId="0" applyNumberFormat="1" applyFont="1" applyBorder="1" applyProtection="1">
      <alignment vertical="center"/>
      <protection locked="0"/>
    </xf>
    <xf numFmtId="3" fontId="32" fillId="0" borderId="6" xfId="0" applyNumberFormat="1" applyFont="1" applyBorder="1" applyProtection="1">
      <alignment vertical="center"/>
      <protection locked="0"/>
    </xf>
    <xf numFmtId="3" fontId="32" fillId="0" borderId="7" xfId="0" applyNumberFormat="1" applyFont="1" applyBorder="1" applyProtection="1">
      <alignment vertical="center"/>
      <protection locked="0"/>
    </xf>
    <xf numFmtId="3" fontId="32" fillId="0" borderId="8" xfId="0" applyNumberFormat="1" applyFont="1" applyBorder="1" applyProtection="1">
      <alignment vertical="center"/>
      <protection locked="0"/>
    </xf>
    <xf numFmtId="3" fontId="32" fillId="0" borderId="29" xfId="0" applyNumberFormat="1" applyFont="1" applyBorder="1">
      <alignment vertical="center"/>
    </xf>
    <xf numFmtId="3" fontId="32" fillId="14" borderId="6" xfId="0" applyNumberFormat="1" applyFont="1" applyFill="1" applyBorder="1">
      <alignment vertical="center"/>
    </xf>
    <xf numFmtId="3" fontId="32" fillId="14" borderId="7" xfId="0" applyNumberFormat="1" applyFont="1" applyFill="1" applyBorder="1">
      <alignment vertical="center"/>
    </xf>
    <xf numFmtId="3" fontId="32" fillId="14" borderId="8" xfId="0" applyNumberFormat="1" applyFont="1" applyFill="1" applyBorder="1">
      <alignment vertical="center"/>
    </xf>
    <xf numFmtId="3" fontId="33" fillId="14" borderId="20" xfId="0" applyNumberFormat="1" applyFont="1" applyFill="1" applyBorder="1" applyProtection="1">
      <alignment vertical="center"/>
      <protection locked="0"/>
    </xf>
    <xf numFmtId="3" fontId="32" fillId="15" borderId="6" xfId="0" applyNumberFormat="1" applyFont="1" applyFill="1" applyBorder="1">
      <alignment vertical="center"/>
    </xf>
    <xf numFmtId="3" fontId="32" fillId="15" borderId="7" xfId="0" applyNumberFormat="1" applyFont="1" applyFill="1" applyBorder="1">
      <alignment vertical="center"/>
    </xf>
    <xf numFmtId="3" fontId="32" fillId="15" borderId="8" xfId="0" applyNumberFormat="1" applyFont="1" applyFill="1" applyBorder="1">
      <alignment vertical="center"/>
    </xf>
    <xf numFmtId="3" fontId="33" fillId="15" borderId="20" xfId="0" applyNumberFormat="1" applyFont="1" applyFill="1" applyBorder="1" applyProtection="1">
      <alignment vertical="center"/>
      <protection locked="0"/>
    </xf>
    <xf numFmtId="3" fontId="32" fillId="15" borderId="4" xfId="0" applyNumberFormat="1" applyFont="1" applyFill="1" applyBorder="1">
      <alignment vertical="center"/>
    </xf>
    <xf numFmtId="3" fontId="32" fillId="15" borderId="5" xfId="0" applyNumberFormat="1" applyFont="1" applyFill="1" applyBorder="1">
      <alignment vertical="center"/>
    </xf>
    <xf numFmtId="3" fontId="33" fillId="15" borderId="12" xfId="0" applyNumberFormat="1" applyFont="1" applyFill="1" applyBorder="1" applyProtection="1">
      <alignment vertical="center"/>
      <protection locked="0"/>
    </xf>
    <xf numFmtId="3" fontId="33" fillId="15" borderId="13" xfId="0" applyNumberFormat="1" applyFont="1" applyFill="1" applyBorder="1" applyProtection="1">
      <alignment vertical="center"/>
      <protection locked="0"/>
    </xf>
    <xf numFmtId="3" fontId="33" fillId="15" borderId="14" xfId="0" applyNumberFormat="1" applyFont="1" applyFill="1" applyBorder="1" applyProtection="1">
      <alignment vertical="center"/>
      <protection locked="0"/>
    </xf>
    <xf numFmtId="3" fontId="32" fillId="15" borderId="16" xfId="0" applyNumberFormat="1" applyFont="1" applyFill="1" applyBorder="1">
      <alignment vertical="center"/>
    </xf>
    <xf numFmtId="3" fontId="32" fillId="15" borderId="17" xfId="0" applyNumberFormat="1" applyFont="1" applyFill="1" applyBorder="1">
      <alignment vertical="center"/>
    </xf>
    <xf numFmtId="3" fontId="32" fillId="15" borderId="18" xfId="0" applyNumberFormat="1" applyFont="1" applyFill="1" applyBorder="1">
      <alignment vertical="center"/>
    </xf>
    <xf numFmtId="3" fontId="33" fillId="15" borderId="16" xfId="0" applyNumberFormat="1" applyFont="1" applyFill="1" applyBorder="1" applyProtection="1">
      <alignment vertical="center"/>
      <protection locked="0"/>
    </xf>
    <xf numFmtId="3" fontId="32" fillId="15" borderId="21" xfId="0" applyNumberFormat="1" applyFont="1" applyFill="1" applyBorder="1">
      <alignment vertical="center"/>
    </xf>
    <xf numFmtId="3" fontId="32" fillId="15" borderId="22" xfId="0" applyNumberFormat="1" applyFont="1" applyFill="1" applyBorder="1">
      <alignment vertical="center"/>
    </xf>
    <xf numFmtId="3" fontId="33" fillId="15" borderId="7" xfId="0" applyNumberFormat="1" applyFont="1" applyFill="1" applyBorder="1" applyProtection="1">
      <alignment vertical="center"/>
      <protection locked="0"/>
    </xf>
    <xf numFmtId="3" fontId="33" fillId="15" borderId="0" xfId="0" applyNumberFormat="1" applyFont="1" applyFill="1" applyProtection="1">
      <alignment vertical="center"/>
      <protection locked="0"/>
    </xf>
    <xf numFmtId="3" fontId="33" fillId="15" borderId="10" xfId="0" applyNumberFormat="1" applyFont="1" applyFill="1" applyBorder="1" applyProtection="1">
      <alignment vertical="center"/>
      <protection locked="0"/>
    </xf>
    <xf numFmtId="3" fontId="33" fillId="15" borderId="24" xfId="0" applyNumberFormat="1" applyFont="1" applyFill="1" applyBorder="1" applyProtection="1">
      <alignment vertical="center"/>
      <protection locked="0"/>
    </xf>
    <xf numFmtId="3" fontId="33" fillId="15" borderId="11" xfId="0" applyNumberFormat="1" applyFont="1" applyFill="1" applyBorder="1" applyProtection="1">
      <alignment vertical="center"/>
      <protection locked="0"/>
    </xf>
    <xf numFmtId="3" fontId="32" fillId="15" borderId="19" xfId="0" applyNumberFormat="1" applyFont="1" applyFill="1" applyBorder="1">
      <alignment vertical="center"/>
    </xf>
    <xf numFmtId="3" fontId="32" fillId="14" borderId="9" xfId="0" applyNumberFormat="1" applyFont="1" applyFill="1" applyBorder="1">
      <alignment vertical="center"/>
    </xf>
    <xf numFmtId="3" fontId="32" fillId="14" borderId="5" xfId="0" applyNumberFormat="1" applyFont="1" applyFill="1" applyBorder="1">
      <alignment vertical="center"/>
    </xf>
    <xf numFmtId="3" fontId="33" fillId="14" borderId="12" xfId="0" applyNumberFormat="1" applyFont="1" applyFill="1" applyBorder="1" applyProtection="1">
      <alignment vertical="center"/>
      <protection locked="0"/>
    </xf>
    <xf numFmtId="3" fontId="33" fillId="14" borderId="14" xfId="0" applyNumberFormat="1" applyFont="1" applyFill="1" applyBorder="1" applyProtection="1">
      <alignment vertical="center"/>
      <protection locked="0"/>
    </xf>
    <xf numFmtId="3" fontId="32" fillId="14" borderId="0" xfId="0" applyNumberFormat="1" applyFont="1" applyFill="1">
      <alignment vertical="center"/>
    </xf>
    <xf numFmtId="3" fontId="32" fillId="14" borderId="16" xfId="0" applyNumberFormat="1" applyFont="1" applyFill="1" applyBorder="1">
      <alignment vertical="center"/>
    </xf>
    <xf numFmtId="3" fontId="32" fillId="14" borderId="17" xfId="0" applyNumberFormat="1" applyFont="1" applyFill="1" applyBorder="1">
      <alignment vertical="center"/>
    </xf>
    <xf numFmtId="3" fontId="32" fillId="14" borderId="18" xfId="0" applyNumberFormat="1" applyFont="1" applyFill="1" applyBorder="1">
      <alignment vertical="center"/>
    </xf>
    <xf numFmtId="3" fontId="33" fillId="14" borderId="16" xfId="0" applyNumberFormat="1" applyFont="1" applyFill="1" applyBorder="1" applyProtection="1">
      <alignment vertical="center"/>
      <protection locked="0"/>
    </xf>
    <xf numFmtId="3" fontId="32" fillId="14" borderId="21" xfId="0" applyNumberFormat="1" applyFont="1" applyFill="1" applyBorder="1">
      <alignment vertical="center"/>
    </xf>
    <xf numFmtId="3" fontId="32" fillId="14" borderId="22" xfId="0" applyNumberFormat="1" applyFont="1" applyFill="1" applyBorder="1">
      <alignment vertical="center"/>
    </xf>
    <xf numFmtId="3" fontId="33" fillId="14" borderId="11" xfId="0" applyNumberFormat="1" applyFont="1" applyFill="1" applyBorder="1" applyProtection="1">
      <alignment vertical="center"/>
      <protection locked="0"/>
    </xf>
    <xf numFmtId="3" fontId="33" fillId="14" borderId="10" xfId="0" applyNumberFormat="1" applyFont="1" applyFill="1" applyBorder="1" applyProtection="1">
      <alignment vertical="center"/>
      <protection locked="0"/>
    </xf>
    <xf numFmtId="3" fontId="32" fillId="14" borderId="4" xfId="0" applyNumberFormat="1" applyFont="1" applyFill="1" applyBorder="1">
      <alignment vertical="center"/>
    </xf>
    <xf numFmtId="3" fontId="32" fillId="14" borderId="6" xfId="0" applyNumberFormat="1" applyFont="1" applyFill="1" applyBorder="1" applyProtection="1">
      <alignment vertical="center"/>
      <protection locked="0"/>
    </xf>
    <xf numFmtId="3" fontId="32" fillId="14" borderId="7" xfId="0" applyNumberFormat="1" applyFont="1" applyFill="1" applyBorder="1" applyProtection="1">
      <alignment vertical="center"/>
      <protection locked="0"/>
    </xf>
    <xf numFmtId="3" fontId="32" fillId="14" borderId="8" xfId="0" applyNumberFormat="1" applyFont="1" applyFill="1" applyBorder="1" applyProtection="1">
      <alignment vertical="center"/>
      <protection locked="0"/>
    </xf>
    <xf numFmtId="3" fontId="32" fillId="14" borderId="28" xfId="0" applyNumberFormat="1" applyFont="1" applyFill="1" applyBorder="1">
      <alignment vertical="center"/>
    </xf>
    <xf numFmtId="3" fontId="32" fillId="14" borderId="29" xfId="0" applyNumberFormat="1" applyFont="1" applyFill="1" applyBorder="1">
      <alignment vertical="center"/>
    </xf>
    <xf numFmtId="3" fontId="32" fillId="14" borderId="19" xfId="0" applyNumberFormat="1" applyFont="1" applyFill="1" applyBorder="1">
      <alignment vertical="center"/>
    </xf>
    <xf numFmtId="3" fontId="32" fillId="15" borderId="29" xfId="0" applyNumberFormat="1" applyFont="1" applyFill="1" applyBorder="1">
      <alignment vertical="center"/>
    </xf>
    <xf numFmtId="3" fontId="32" fillId="14" borderId="25" xfId="0" applyNumberFormat="1" applyFont="1" applyFill="1" applyBorder="1">
      <alignment vertical="center"/>
    </xf>
    <xf numFmtId="3" fontId="33" fillId="14" borderId="27" xfId="0" applyNumberFormat="1" applyFont="1" applyFill="1" applyBorder="1" applyProtection="1">
      <alignment vertical="center"/>
      <protection locked="0"/>
    </xf>
    <xf numFmtId="3" fontId="32" fillId="14" borderId="25" xfId="0" applyNumberFormat="1" applyFont="1" applyFill="1" applyBorder="1" applyProtection="1">
      <alignment vertical="center"/>
      <protection locked="0"/>
    </xf>
    <xf numFmtId="3" fontId="32" fillId="14" borderId="5" xfId="0" applyNumberFormat="1" applyFont="1" applyFill="1" applyBorder="1" applyProtection="1">
      <alignment vertical="center"/>
      <protection locked="0"/>
    </xf>
    <xf numFmtId="3" fontId="32" fillId="14" borderId="30" xfId="0" applyNumberFormat="1" applyFont="1" applyFill="1" applyBorder="1">
      <alignment vertical="center"/>
    </xf>
    <xf numFmtId="3" fontId="32" fillId="15" borderId="6" xfId="0" applyNumberFormat="1" applyFont="1" applyFill="1" applyBorder="1" applyProtection="1">
      <alignment vertical="center"/>
      <protection locked="0"/>
    </xf>
    <xf numFmtId="3" fontId="32" fillId="15" borderId="7" xfId="0" applyNumberFormat="1" applyFont="1" applyFill="1" applyBorder="1" applyProtection="1">
      <alignment vertical="center"/>
      <protection locked="0"/>
    </xf>
    <xf numFmtId="3" fontId="32" fillId="15" borderId="8" xfId="0" applyNumberFormat="1" applyFont="1" applyFill="1" applyBorder="1" applyProtection="1">
      <alignment vertical="center"/>
      <protection locked="0"/>
    </xf>
    <xf numFmtId="3" fontId="32" fillId="15" borderId="28" xfId="0" applyNumberFormat="1" applyFont="1" applyFill="1" applyBorder="1">
      <alignment vertical="center"/>
    </xf>
    <xf numFmtId="0" fontId="36" fillId="0" borderId="0" xfId="0" applyFont="1" applyAlignment="1"/>
    <xf numFmtId="3" fontId="33" fillId="12" borderId="54" xfId="0" applyNumberFormat="1" applyFont="1" applyFill="1" applyBorder="1" applyProtection="1">
      <alignment vertical="center"/>
      <protection locked="0"/>
    </xf>
    <xf numFmtId="3" fontId="33" fillId="12" borderId="49" xfId="0" applyNumberFormat="1" applyFont="1" applyFill="1" applyBorder="1" applyProtection="1">
      <alignment vertical="center"/>
      <protection locked="0"/>
    </xf>
    <xf numFmtId="3" fontId="33" fillId="12" borderId="62" xfId="0" applyNumberFormat="1" applyFont="1" applyFill="1" applyBorder="1" applyProtection="1">
      <alignment vertical="center"/>
      <protection locked="0"/>
    </xf>
    <xf numFmtId="3" fontId="33" fillId="12" borderId="56" xfId="0" applyNumberFormat="1" applyFont="1" applyFill="1" applyBorder="1" applyProtection="1">
      <alignment vertical="center"/>
      <protection locked="0"/>
    </xf>
    <xf numFmtId="3" fontId="33" fillId="12" borderId="50" xfId="0" applyNumberFormat="1" applyFont="1" applyFill="1" applyBorder="1" applyProtection="1">
      <alignment vertical="center"/>
      <protection locked="0"/>
    </xf>
    <xf numFmtId="3" fontId="33" fillId="12" borderId="51" xfId="0" applyNumberFormat="1" applyFont="1" applyFill="1" applyBorder="1" applyProtection="1">
      <alignment vertical="center"/>
      <protection locked="0"/>
    </xf>
    <xf numFmtId="3" fontId="33" fillId="12" borderId="60" xfId="0" applyNumberFormat="1" applyFont="1" applyFill="1" applyBorder="1" applyProtection="1">
      <alignment vertical="center"/>
      <protection locked="0"/>
    </xf>
    <xf numFmtId="3" fontId="33" fillId="12" borderId="48" xfId="0" applyNumberFormat="1" applyFont="1" applyFill="1" applyBorder="1" applyProtection="1">
      <alignment vertical="center"/>
      <protection locked="0"/>
    </xf>
    <xf numFmtId="3" fontId="33" fillId="12" borderId="59" xfId="0" applyNumberFormat="1" applyFont="1" applyFill="1" applyBorder="1" applyProtection="1">
      <alignment vertical="center"/>
      <protection locked="0"/>
    </xf>
    <xf numFmtId="3" fontId="33" fillId="12" borderId="67" xfId="0" applyNumberFormat="1" applyFont="1" applyFill="1" applyBorder="1" applyProtection="1">
      <alignment vertical="center"/>
      <protection locked="0"/>
    </xf>
    <xf numFmtId="3" fontId="33" fillId="12" borderId="66" xfId="0" applyNumberFormat="1" applyFont="1" applyFill="1" applyBorder="1" applyProtection="1">
      <alignment vertical="center"/>
      <protection locked="0"/>
    </xf>
    <xf numFmtId="3" fontId="33" fillId="12" borderId="55" xfId="0" applyNumberFormat="1" applyFont="1" applyFill="1" applyBorder="1" applyProtection="1">
      <alignment vertical="center"/>
      <protection locked="0"/>
    </xf>
    <xf numFmtId="3" fontId="33" fillId="12" borderId="61" xfId="0" applyNumberFormat="1" applyFont="1" applyFill="1" applyBorder="1" applyProtection="1">
      <alignment vertical="center"/>
      <protection locked="0"/>
    </xf>
    <xf numFmtId="3" fontId="33" fillId="0" borderId="54" xfId="0" applyNumberFormat="1" applyFont="1" applyBorder="1" applyProtection="1">
      <alignment vertical="center"/>
      <protection locked="0"/>
    </xf>
    <xf numFmtId="3" fontId="33" fillId="0" borderId="49" xfId="0" applyNumberFormat="1" applyFont="1" applyBorder="1" applyProtection="1">
      <alignment vertical="center"/>
      <protection locked="0"/>
    </xf>
    <xf numFmtId="3" fontId="33" fillId="0" borderId="55" xfId="0" applyNumberFormat="1" applyFont="1" applyBorder="1" applyProtection="1">
      <alignment vertical="center"/>
      <protection locked="0"/>
    </xf>
    <xf numFmtId="3" fontId="33" fillId="0" borderId="56" xfId="0" applyNumberFormat="1" applyFont="1" applyBorder="1" applyProtection="1">
      <alignment vertical="center"/>
      <protection locked="0"/>
    </xf>
    <xf numFmtId="3" fontId="33" fillId="0" borderId="50" xfId="0" applyNumberFormat="1" applyFont="1" applyBorder="1" applyProtection="1">
      <alignment vertical="center"/>
      <protection locked="0"/>
    </xf>
    <xf numFmtId="3" fontId="33" fillId="0" borderId="57" xfId="0" applyNumberFormat="1" applyFont="1" applyBorder="1" applyProtection="1">
      <alignment vertical="center"/>
      <protection locked="0"/>
    </xf>
    <xf numFmtId="3" fontId="33" fillId="0" borderId="60" xfId="0" applyNumberFormat="1" applyFont="1" applyBorder="1" applyProtection="1">
      <alignment vertical="center"/>
      <protection locked="0"/>
    </xf>
    <xf numFmtId="3" fontId="33" fillId="0" borderId="48" xfId="0" applyNumberFormat="1" applyFont="1" applyBorder="1" applyProtection="1">
      <alignment vertical="center"/>
      <protection locked="0"/>
    </xf>
    <xf numFmtId="3" fontId="33" fillId="0" borderId="61" xfId="0" applyNumberFormat="1" applyFont="1" applyBorder="1" applyProtection="1">
      <alignment vertical="center"/>
      <protection locked="0"/>
    </xf>
    <xf numFmtId="3" fontId="33" fillId="0" borderId="63" xfId="0" applyNumberFormat="1" applyFont="1" applyBorder="1" applyProtection="1">
      <alignment vertical="center"/>
      <protection locked="0"/>
    </xf>
    <xf numFmtId="3" fontId="33" fillId="0" borderId="64" xfId="0" applyNumberFormat="1" applyFont="1" applyBorder="1" applyProtection="1">
      <alignment vertical="center"/>
      <protection locked="0"/>
    </xf>
    <xf numFmtId="3" fontId="33" fillId="0" borderId="65" xfId="0" applyNumberFormat="1" applyFont="1" applyBorder="1" applyProtection="1">
      <alignment vertical="center"/>
      <protection locked="0"/>
    </xf>
    <xf numFmtId="3" fontId="32" fillId="0" borderId="58" xfId="0" applyNumberFormat="1" applyFont="1" applyBorder="1">
      <alignment vertical="center"/>
    </xf>
    <xf numFmtId="3" fontId="32" fillId="0" borderId="66" xfId="0" applyNumberFormat="1" applyFont="1" applyBorder="1">
      <alignment vertical="center"/>
    </xf>
    <xf numFmtId="3" fontId="33" fillId="0" borderId="67" xfId="0" applyNumberFormat="1" applyFont="1" applyBorder="1" applyProtection="1">
      <alignment vertical="center"/>
      <protection locked="0"/>
    </xf>
    <xf numFmtId="3" fontId="33" fillId="0" borderId="66" xfId="0" applyNumberFormat="1" applyFont="1" applyBorder="1" applyProtection="1">
      <alignment vertical="center"/>
      <protection locked="0"/>
    </xf>
    <xf numFmtId="3" fontId="33" fillId="0" borderId="58" xfId="0" applyNumberFormat="1" applyFont="1" applyBorder="1" applyProtection="1">
      <alignment vertical="center"/>
      <protection locked="0"/>
    </xf>
    <xf numFmtId="3" fontId="33" fillId="0" borderId="52" xfId="0" applyNumberFormat="1" applyFont="1" applyBorder="1" applyProtection="1">
      <alignment vertical="center"/>
      <protection locked="0"/>
    </xf>
    <xf numFmtId="3" fontId="33" fillId="0" borderId="68" xfId="0" applyNumberFormat="1" applyFont="1" applyBorder="1" applyProtection="1">
      <alignment vertical="center"/>
      <protection locked="0"/>
    </xf>
    <xf numFmtId="3" fontId="33" fillId="15" borderId="56" xfId="0" applyNumberFormat="1" applyFont="1" applyFill="1" applyBorder="1" applyProtection="1">
      <alignment vertical="center"/>
      <protection locked="0"/>
    </xf>
    <xf numFmtId="3" fontId="33" fillId="15" borderId="50" xfId="0" applyNumberFormat="1" applyFont="1" applyFill="1" applyBorder="1" applyProtection="1">
      <alignment vertical="center"/>
      <protection locked="0"/>
    </xf>
    <xf numFmtId="3" fontId="33" fillId="15" borderId="57" xfId="0" applyNumberFormat="1" applyFont="1" applyFill="1" applyBorder="1" applyProtection="1">
      <alignment vertical="center"/>
      <protection locked="0"/>
    </xf>
    <xf numFmtId="3" fontId="33" fillId="15" borderId="63" xfId="0" applyNumberFormat="1" applyFont="1" applyFill="1" applyBorder="1" applyProtection="1">
      <alignment vertical="center"/>
      <protection locked="0"/>
    </xf>
    <xf numFmtId="3" fontId="33" fillId="15" borderId="64" xfId="0" applyNumberFormat="1" applyFont="1" applyFill="1" applyBorder="1" applyProtection="1">
      <alignment vertical="center"/>
      <protection locked="0"/>
    </xf>
    <xf numFmtId="3" fontId="33" fillId="15" borderId="65" xfId="0" applyNumberFormat="1" applyFont="1" applyFill="1" applyBorder="1" applyProtection="1">
      <alignment vertical="center"/>
      <protection locked="0"/>
    </xf>
    <xf numFmtId="3" fontId="32" fillId="15" borderId="58" xfId="0" applyNumberFormat="1" applyFont="1" applyFill="1" applyBorder="1">
      <alignment vertical="center"/>
    </xf>
    <xf numFmtId="3" fontId="32" fillId="15" borderId="66" xfId="0" applyNumberFormat="1" applyFont="1" applyFill="1" applyBorder="1">
      <alignment vertical="center"/>
    </xf>
    <xf numFmtId="3" fontId="33" fillId="15" borderId="58" xfId="0" applyNumberFormat="1" applyFont="1" applyFill="1" applyBorder="1" applyProtection="1">
      <alignment vertical="center"/>
      <protection locked="0"/>
    </xf>
    <xf numFmtId="3" fontId="33" fillId="15" borderId="52" xfId="0" applyNumberFormat="1" applyFont="1" applyFill="1" applyBorder="1" applyProtection="1">
      <alignment vertical="center"/>
      <protection locked="0"/>
    </xf>
    <xf numFmtId="3" fontId="33" fillId="15" borderId="68" xfId="0" applyNumberFormat="1" applyFont="1" applyFill="1" applyBorder="1" applyProtection="1">
      <alignment vertical="center"/>
      <protection locked="0"/>
    </xf>
    <xf numFmtId="3" fontId="33" fillId="15" borderId="53" xfId="0" applyNumberFormat="1" applyFont="1" applyFill="1" applyBorder="1" applyProtection="1">
      <alignment vertical="center"/>
      <protection locked="0"/>
    </xf>
    <xf numFmtId="3" fontId="33" fillId="15" borderId="54" xfId="0" applyNumberFormat="1" applyFont="1" applyFill="1" applyBorder="1" applyProtection="1">
      <alignment vertical="center"/>
      <protection locked="0"/>
    </xf>
    <xf numFmtId="3" fontId="33" fillId="15" borderId="49" xfId="0" applyNumberFormat="1" applyFont="1" applyFill="1" applyBorder="1" applyProtection="1">
      <alignment vertical="center"/>
      <protection locked="0"/>
    </xf>
    <xf numFmtId="3" fontId="33" fillId="15" borderId="55" xfId="0" applyNumberFormat="1" applyFont="1" applyFill="1" applyBorder="1" applyProtection="1">
      <alignment vertical="center"/>
      <protection locked="0"/>
    </xf>
    <xf numFmtId="3" fontId="33" fillId="15" borderId="60" xfId="0" applyNumberFormat="1" applyFont="1" applyFill="1" applyBorder="1" applyProtection="1">
      <alignment vertical="center"/>
      <protection locked="0"/>
    </xf>
    <xf numFmtId="3" fontId="33" fillId="15" borderId="48" xfId="0" applyNumberFormat="1" applyFont="1" applyFill="1" applyBorder="1" applyProtection="1">
      <alignment vertical="center"/>
      <protection locked="0"/>
    </xf>
    <xf numFmtId="3" fontId="33" fillId="15" borderId="61" xfId="0" applyNumberFormat="1" applyFont="1" applyFill="1" applyBorder="1" applyProtection="1">
      <alignment vertical="center"/>
      <protection locked="0"/>
    </xf>
    <xf numFmtId="3" fontId="33" fillId="15" borderId="67" xfId="0" applyNumberFormat="1" applyFont="1" applyFill="1" applyBorder="1" applyProtection="1">
      <alignment vertical="center"/>
      <protection locked="0"/>
    </xf>
    <xf numFmtId="3" fontId="33" fillId="15" borderId="66" xfId="0" applyNumberFormat="1" applyFont="1" applyFill="1" applyBorder="1" applyProtection="1">
      <alignment vertical="center"/>
      <protection locked="0"/>
    </xf>
    <xf numFmtId="3" fontId="33" fillId="14" borderId="54" xfId="0" applyNumberFormat="1" applyFont="1" applyFill="1" applyBorder="1" applyProtection="1">
      <alignment vertical="center"/>
      <protection locked="0"/>
    </xf>
    <xf numFmtId="3" fontId="33" fillId="14" borderId="49" xfId="0" applyNumberFormat="1" applyFont="1" applyFill="1" applyBorder="1" applyProtection="1">
      <alignment vertical="center"/>
      <protection locked="0"/>
    </xf>
    <xf numFmtId="3" fontId="33" fillId="14" borderId="55" xfId="0" applyNumberFormat="1" applyFont="1" applyFill="1" applyBorder="1" applyProtection="1">
      <alignment vertical="center"/>
      <protection locked="0"/>
    </xf>
    <xf numFmtId="3" fontId="33" fillId="14" borderId="56" xfId="0" applyNumberFormat="1" applyFont="1" applyFill="1" applyBorder="1" applyProtection="1">
      <alignment vertical="center"/>
      <protection locked="0"/>
    </xf>
    <xf numFmtId="3" fontId="33" fillId="14" borderId="50" xfId="0" applyNumberFormat="1" applyFont="1" applyFill="1" applyBorder="1" applyProtection="1">
      <alignment vertical="center"/>
      <protection locked="0"/>
    </xf>
    <xf numFmtId="3" fontId="33" fillId="14" borderId="57" xfId="0" applyNumberFormat="1" applyFont="1" applyFill="1" applyBorder="1" applyProtection="1">
      <alignment vertical="center"/>
      <protection locked="0"/>
    </xf>
    <xf numFmtId="3" fontId="33" fillId="14" borderId="60" xfId="0" applyNumberFormat="1" applyFont="1" applyFill="1" applyBorder="1" applyProtection="1">
      <alignment vertical="center"/>
      <protection locked="0"/>
    </xf>
    <xf numFmtId="3" fontId="33" fillId="14" borderId="48" xfId="0" applyNumberFormat="1" applyFont="1" applyFill="1" applyBorder="1" applyProtection="1">
      <alignment vertical="center"/>
      <protection locked="0"/>
    </xf>
    <xf numFmtId="3" fontId="33" fillId="14" borderId="61" xfId="0" applyNumberFormat="1" applyFont="1" applyFill="1" applyBorder="1" applyProtection="1">
      <alignment vertical="center"/>
      <protection locked="0"/>
    </xf>
    <xf numFmtId="3" fontId="33" fillId="14" borderId="67" xfId="0" applyNumberFormat="1" applyFont="1" applyFill="1" applyBorder="1" applyProtection="1">
      <alignment vertical="center"/>
      <protection locked="0"/>
    </xf>
    <xf numFmtId="3" fontId="33" fillId="14" borderId="66" xfId="0" applyNumberFormat="1" applyFont="1" applyFill="1" applyBorder="1" applyProtection="1">
      <alignment vertical="center"/>
      <protection locked="0"/>
    </xf>
    <xf numFmtId="3" fontId="33" fillId="14" borderId="63" xfId="0" applyNumberFormat="1" applyFont="1" applyFill="1" applyBorder="1" applyProtection="1">
      <alignment vertical="center"/>
      <protection locked="0"/>
    </xf>
    <xf numFmtId="3" fontId="33" fillId="14" borderId="65" xfId="0" applyNumberFormat="1" applyFont="1" applyFill="1" applyBorder="1" applyProtection="1">
      <alignment vertical="center"/>
      <protection locked="0"/>
    </xf>
    <xf numFmtId="3" fontId="32" fillId="14" borderId="58" xfId="0" applyNumberFormat="1" applyFont="1" applyFill="1" applyBorder="1">
      <alignment vertical="center"/>
    </xf>
    <xf numFmtId="3" fontId="33" fillId="14" borderId="58" xfId="0" applyNumberFormat="1" applyFont="1" applyFill="1" applyBorder="1" applyProtection="1">
      <alignment vertical="center"/>
      <protection locked="0"/>
    </xf>
    <xf numFmtId="3" fontId="33" fillId="14" borderId="51" xfId="0" applyNumberFormat="1" applyFont="1" applyFill="1" applyBorder="1" applyProtection="1">
      <alignment vertical="center"/>
      <protection locked="0"/>
    </xf>
    <xf numFmtId="3" fontId="33" fillId="14" borderId="53" xfId="0" applyNumberFormat="1" applyFont="1" applyFill="1" applyBorder="1" applyProtection="1">
      <alignment vertical="center"/>
      <protection locked="0"/>
    </xf>
    <xf numFmtId="3" fontId="33" fillId="14" borderId="52" xfId="0" applyNumberFormat="1" applyFont="1" applyFill="1" applyBorder="1" applyProtection="1">
      <alignment vertical="center"/>
      <protection locked="0"/>
    </xf>
    <xf numFmtId="3" fontId="33" fillId="12" borderId="69" xfId="0" applyNumberFormat="1" applyFont="1" applyFill="1" applyBorder="1" applyProtection="1">
      <alignment vertical="center"/>
      <protection locked="0"/>
    </xf>
    <xf numFmtId="3" fontId="33" fillId="12" borderId="70" xfId="0" applyNumberFormat="1" applyFont="1" applyFill="1" applyBorder="1" applyProtection="1">
      <alignment vertical="center"/>
      <protection locked="0"/>
    </xf>
    <xf numFmtId="3" fontId="34" fillId="12" borderId="70" xfId="0" applyNumberFormat="1" applyFont="1" applyFill="1" applyBorder="1" applyProtection="1">
      <alignment vertical="center"/>
      <protection locked="0"/>
    </xf>
    <xf numFmtId="3" fontId="34" fillId="12" borderId="50" xfId="0" applyNumberFormat="1" applyFont="1" applyFill="1" applyBorder="1" applyProtection="1">
      <alignment vertical="center"/>
      <protection locked="0"/>
    </xf>
    <xf numFmtId="3" fontId="34" fillId="12" borderId="51" xfId="0" applyNumberFormat="1" applyFont="1" applyFill="1" applyBorder="1" applyProtection="1">
      <alignment vertical="center"/>
      <protection locked="0"/>
    </xf>
    <xf numFmtId="3" fontId="33" fillId="12" borderId="71" xfId="0" applyNumberFormat="1" applyFont="1" applyFill="1" applyBorder="1" applyProtection="1">
      <alignment vertical="center"/>
      <protection locked="0"/>
    </xf>
    <xf numFmtId="3" fontId="34" fillId="12" borderId="71" xfId="0" applyNumberFormat="1" applyFont="1" applyFill="1" applyBorder="1" applyProtection="1">
      <alignment vertical="center"/>
      <protection locked="0"/>
    </xf>
    <xf numFmtId="3" fontId="34" fillId="12" borderId="48" xfId="0" applyNumberFormat="1" applyFont="1" applyFill="1" applyBorder="1" applyProtection="1">
      <alignment vertical="center"/>
      <protection locked="0"/>
    </xf>
    <xf numFmtId="3" fontId="34" fillId="12" borderId="59" xfId="0" applyNumberFormat="1" applyFont="1" applyFill="1" applyBorder="1" applyProtection="1">
      <alignment vertical="center"/>
      <protection locked="0"/>
    </xf>
    <xf numFmtId="3" fontId="33" fillId="12" borderId="58" xfId="0" applyNumberFormat="1" applyFont="1" applyFill="1" applyBorder="1" applyProtection="1">
      <alignment vertical="center"/>
      <protection locked="0"/>
    </xf>
    <xf numFmtId="3" fontId="33" fillId="14" borderId="69" xfId="0" applyNumberFormat="1" applyFont="1" applyFill="1" applyBorder="1" applyProtection="1">
      <alignment vertical="center"/>
      <protection locked="0"/>
    </xf>
    <xf numFmtId="3" fontId="33" fillId="14" borderId="62" xfId="0" applyNumberFormat="1" applyFont="1" applyFill="1" applyBorder="1" applyProtection="1">
      <alignment vertical="center"/>
      <protection locked="0"/>
    </xf>
    <xf numFmtId="3" fontId="33" fillId="14" borderId="70" xfId="0" applyNumberFormat="1" applyFont="1" applyFill="1" applyBorder="1" applyProtection="1">
      <alignment vertical="center"/>
      <protection locked="0"/>
    </xf>
    <xf numFmtId="3" fontId="34" fillId="14" borderId="50" xfId="0" applyNumberFormat="1" applyFont="1" applyFill="1" applyBorder="1" applyProtection="1">
      <alignment vertical="center"/>
      <protection locked="0"/>
    </xf>
    <xf numFmtId="3" fontId="34" fillId="14" borderId="51" xfId="0" applyNumberFormat="1" applyFont="1" applyFill="1" applyBorder="1" applyProtection="1">
      <alignment vertical="center"/>
      <protection locked="0"/>
    </xf>
    <xf numFmtId="3" fontId="33" fillId="14" borderId="71" xfId="0" applyNumberFormat="1" applyFont="1" applyFill="1" applyBorder="1" applyProtection="1">
      <alignment vertical="center"/>
      <protection locked="0"/>
    </xf>
    <xf numFmtId="3" fontId="33" fillId="14" borderId="59" xfId="0" applyNumberFormat="1" applyFont="1" applyFill="1" applyBorder="1" applyProtection="1">
      <alignment vertical="center"/>
      <protection locked="0"/>
    </xf>
    <xf numFmtId="3" fontId="34" fillId="14" borderId="48" xfId="0" applyNumberFormat="1" applyFont="1" applyFill="1" applyBorder="1" applyProtection="1">
      <alignment vertical="center"/>
      <protection locked="0"/>
    </xf>
    <xf numFmtId="3" fontId="34" fillId="14" borderId="59" xfId="0" applyNumberFormat="1" applyFont="1" applyFill="1" applyBorder="1" applyProtection="1">
      <alignment vertical="center"/>
      <protection locked="0"/>
    </xf>
    <xf numFmtId="3" fontId="34" fillId="0" borderId="50" xfId="0" applyNumberFormat="1" applyFont="1" applyBorder="1" applyProtection="1">
      <alignment vertical="center"/>
      <protection locked="0"/>
    </xf>
    <xf numFmtId="3" fontId="34" fillId="0" borderId="57" xfId="0" applyNumberFormat="1" applyFont="1" applyBorder="1" applyProtection="1">
      <alignment vertical="center"/>
      <protection locked="0"/>
    </xf>
    <xf numFmtId="3" fontId="34" fillId="0" borderId="48" xfId="0" applyNumberFormat="1" applyFont="1" applyBorder="1" applyProtection="1">
      <alignment vertical="center"/>
      <protection locked="0"/>
    </xf>
    <xf numFmtId="3" fontId="34" fillId="0" borderId="61" xfId="0" applyNumberFormat="1" applyFont="1" applyBorder="1" applyProtection="1">
      <alignment vertical="center"/>
      <protection locked="0"/>
    </xf>
    <xf numFmtId="3" fontId="34" fillId="15" borderId="50" xfId="0" applyNumberFormat="1" applyFont="1" applyFill="1" applyBorder="1" applyProtection="1">
      <alignment vertical="center"/>
      <protection locked="0"/>
    </xf>
    <xf numFmtId="3" fontId="34" fillId="15" borderId="57" xfId="0" applyNumberFormat="1" applyFont="1" applyFill="1" applyBorder="1" applyProtection="1">
      <alignment vertical="center"/>
      <protection locked="0"/>
    </xf>
    <xf numFmtId="3" fontId="34" fillId="15" borderId="48" xfId="0" applyNumberFormat="1" applyFont="1" applyFill="1" applyBorder="1" applyProtection="1">
      <alignment vertical="center"/>
      <protection locked="0"/>
    </xf>
    <xf numFmtId="3" fontId="34" fillId="15" borderId="61" xfId="0" applyNumberFormat="1" applyFont="1" applyFill="1" applyBorder="1" applyProtection="1">
      <alignment vertical="center"/>
      <protection locked="0"/>
    </xf>
    <xf numFmtId="178" fontId="0" fillId="16" borderId="7" xfId="0" applyNumberFormat="1" applyFill="1" applyBorder="1" applyAlignment="1" applyProtection="1">
      <protection locked="0"/>
    </xf>
    <xf numFmtId="178" fontId="0" fillId="16" borderId="7" xfId="0" applyNumberFormat="1" applyFill="1" applyBorder="1" applyAlignment="1"/>
    <xf numFmtId="177" fontId="40" fillId="0" borderId="0" xfId="0" applyNumberFormat="1" applyFont="1" applyAlignment="1"/>
    <xf numFmtId="177" fontId="41" fillId="0" borderId="0" xfId="0" applyNumberFormat="1" applyFont="1" applyAlignment="1"/>
    <xf numFmtId="177" fontId="39" fillId="0" borderId="0" xfId="0" applyNumberFormat="1" applyFont="1" applyAlignment="1"/>
    <xf numFmtId="177" fontId="42" fillId="0" borderId="0" xfId="0" applyNumberFormat="1" applyFont="1" applyAlignment="1"/>
    <xf numFmtId="178" fontId="0" fillId="19" borderId="48" xfId="0" applyNumberFormat="1" applyFill="1" applyBorder="1" applyAlignment="1" applyProtection="1">
      <protection locked="0"/>
    </xf>
    <xf numFmtId="178" fontId="0" fillId="18" borderId="48" xfId="0" applyNumberFormat="1" applyFill="1" applyBorder="1" applyAlignment="1" applyProtection="1">
      <protection locked="0"/>
    </xf>
    <xf numFmtId="178" fontId="0" fillId="19" borderId="7" xfId="0" applyNumberFormat="1" applyFill="1" applyBorder="1" applyAlignment="1"/>
    <xf numFmtId="178" fontId="0" fillId="18" borderId="7" xfId="0" applyNumberFormat="1" applyFill="1" applyBorder="1" applyAlignment="1"/>
    <xf numFmtId="178" fontId="0" fillId="18" borderId="7" xfId="0" applyNumberFormat="1" applyFill="1" applyBorder="1" applyAlignment="1" applyProtection="1">
      <protection locked="0"/>
    </xf>
    <xf numFmtId="177" fontId="43" fillId="0" borderId="0" xfId="0" applyNumberFormat="1" applyFont="1" applyAlignment="1"/>
    <xf numFmtId="174" fontId="0" fillId="0" borderId="7" xfId="0" applyNumberFormat="1" applyBorder="1" applyAlignment="1"/>
    <xf numFmtId="0" fontId="0" fillId="0" borderId="0" xfId="0" applyAlignment="1" applyProtection="1">
      <protection locked="0"/>
    </xf>
    <xf numFmtId="175" fontId="0" fillId="0" borderId="7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28" fillId="0" borderId="6" xfId="0" applyNumberFormat="1" applyFont="1" applyBorder="1" applyAlignment="1">
      <alignment horizontal="center" vertical="center"/>
    </xf>
    <xf numFmtId="0" fontId="47" fillId="0" borderId="0" xfId="6" applyAlignment="1">
      <alignment wrapText="1"/>
    </xf>
    <xf numFmtId="0" fontId="50" fillId="21" borderId="75" xfId="6" applyFont="1" applyFill="1" applyBorder="1" applyAlignment="1">
      <alignment horizontal="left"/>
    </xf>
    <xf numFmtId="0" fontId="50" fillId="21" borderId="76" xfId="6" applyFont="1" applyFill="1" applyBorder="1" applyAlignment="1">
      <alignment horizontal="left"/>
    </xf>
    <xf numFmtId="0" fontId="51" fillId="22" borderId="75" xfId="6" applyFont="1" applyFill="1" applyBorder="1"/>
    <xf numFmtId="0" fontId="50" fillId="23" borderId="75" xfId="6" applyFont="1" applyFill="1" applyBorder="1"/>
    <xf numFmtId="1" fontId="51" fillId="22" borderId="75" xfId="7" applyNumberFormat="1" applyFont="1" applyFill="1" applyBorder="1" applyAlignment="1"/>
    <xf numFmtId="0" fontId="50" fillId="24" borderId="75" xfId="6" applyFont="1" applyFill="1" applyBorder="1" applyAlignment="1">
      <alignment horizontal="right"/>
    </xf>
    <xf numFmtId="1" fontId="50" fillId="24" borderId="75" xfId="6" applyNumberFormat="1" applyFont="1" applyFill="1" applyBorder="1"/>
    <xf numFmtId="0" fontId="32" fillId="20" borderId="0" xfId="6" applyFont="1" applyFill="1"/>
    <xf numFmtId="182" fontId="32" fillId="20" borderId="0" xfId="6" applyNumberFormat="1" applyFont="1" applyFill="1"/>
    <xf numFmtId="0" fontId="55" fillId="24" borderId="75" xfId="6" applyFont="1" applyFill="1" applyBorder="1"/>
    <xf numFmtId="0" fontId="56" fillId="25" borderId="76" xfId="6" applyFont="1" applyFill="1" applyBorder="1"/>
    <xf numFmtId="0" fontId="56" fillId="25" borderId="78" xfId="6" applyFont="1" applyFill="1" applyBorder="1"/>
    <xf numFmtId="0" fontId="57" fillId="20" borderId="0" xfId="6" applyFont="1" applyFill="1"/>
    <xf numFmtId="3" fontId="51" fillId="21" borderId="83" xfId="6" applyNumberFormat="1" applyFont="1" applyFill="1" applyBorder="1"/>
    <xf numFmtId="3" fontId="60" fillId="21" borderId="75" xfId="6" applyNumberFormat="1" applyFont="1" applyFill="1" applyBorder="1" applyAlignment="1">
      <alignment horizontal="center"/>
    </xf>
    <xf numFmtId="4" fontId="51" fillId="21" borderId="75" xfId="6" applyNumberFormat="1" applyFont="1" applyFill="1" applyBorder="1" applyAlignment="1">
      <alignment horizontal="center"/>
    </xf>
    <xf numFmtId="4" fontId="50" fillId="21" borderId="84" xfId="6" applyNumberFormat="1" applyFont="1" applyFill="1" applyBorder="1" applyAlignment="1">
      <alignment horizontal="center"/>
    </xf>
    <xf numFmtId="3" fontId="51" fillId="21" borderId="75" xfId="6" applyNumberFormat="1" applyFont="1" applyFill="1" applyBorder="1" applyAlignment="1">
      <alignment horizontal="center"/>
    </xf>
    <xf numFmtId="4" fontId="50" fillId="21" borderId="76" xfId="6" applyNumberFormat="1" applyFont="1" applyFill="1" applyBorder="1" applyAlignment="1">
      <alignment horizontal="center"/>
    </xf>
    <xf numFmtId="0" fontId="56" fillId="21" borderId="75" xfId="6" applyFont="1" applyFill="1" applyBorder="1"/>
    <xf numFmtId="0" fontId="33" fillId="18" borderId="51" xfId="6" applyFont="1" applyFill="1" applyBorder="1" applyAlignment="1">
      <alignment vertical="center"/>
    </xf>
    <xf numFmtId="3" fontId="60" fillId="21" borderId="75" xfId="6" applyNumberFormat="1" applyFont="1" applyFill="1" applyBorder="1"/>
    <xf numFmtId="180" fontId="51" fillId="22" borderId="75" xfId="6" applyNumberFormat="1" applyFont="1" applyFill="1" applyBorder="1"/>
    <xf numFmtId="180" fontId="50" fillId="21" borderId="84" xfId="6" applyNumberFormat="1" applyFont="1" applyFill="1" applyBorder="1"/>
    <xf numFmtId="3" fontId="51" fillId="21" borderId="75" xfId="6" applyNumberFormat="1" applyFont="1" applyFill="1" applyBorder="1"/>
    <xf numFmtId="4" fontId="51" fillId="22" borderId="75" xfId="6" applyNumberFormat="1" applyFont="1" applyFill="1" applyBorder="1"/>
    <xf numFmtId="183" fontId="50" fillId="21" borderId="76" xfId="6" quotePrefix="1" applyNumberFormat="1" applyFont="1" applyFill="1" applyBorder="1"/>
    <xf numFmtId="183" fontId="50" fillId="21" borderId="76" xfId="6" applyNumberFormat="1" applyFont="1" applyFill="1" applyBorder="1"/>
    <xf numFmtId="175" fontId="51" fillId="22" borderId="75" xfId="6" applyNumberFormat="1" applyFont="1" applyFill="1" applyBorder="1"/>
    <xf numFmtId="3" fontId="51" fillId="22" borderId="75" xfId="6" applyNumberFormat="1" applyFont="1" applyFill="1" applyBorder="1"/>
    <xf numFmtId="0" fontId="33" fillId="18" borderId="11" xfId="6" applyFont="1" applyFill="1" applyBorder="1" applyAlignment="1">
      <alignment vertical="center"/>
    </xf>
    <xf numFmtId="0" fontId="56" fillId="28" borderId="75" xfId="6" applyFont="1" applyFill="1" applyBorder="1" applyAlignment="1">
      <alignment horizontal="right"/>
    </xf>
    <xf numFmtId="0" fontId="56" fillId="28" borderId="74" xfId="6" applyFont="1" applyFill="1" applyBorder="1" applyAlignment="1">
      <alignment horizontal="right"/>
    </xf>
    <xf numFmtId="3" fontId="51" fillId="20" borderId="86" xfId="6" applyNumberFormat="1" applyFont="1" applyFill="1" applyBorder="1"/>
    <xf numFmtId="3" fontId="60" fillId="20" borderId="74" xfId="6" applyNumberFormat="1" applyFont="1" applyFill="1" applyBorder="1"/>
    <xf numFmtId="4" fontId="51" fillId="20" borderId="74" xfId="6" applyNumberFormat="1" applyFont="1" applyFill="1" applyBorder="1"/>
    <xf numFmtId="180" fontId="50" fillId="28" borderId="84" xfId="6" applyNumberFormat="1" applyFont="1" applyFill="1" applyBorder="1"/>
    <xf numFmtId="3" fontId="51" fillId="20" borderId="74" xfId="6" applyNumberFormat="1" applyFont="1" applyFill="1" applyBorder="1"/>
    <xf numFmtId="0" fontId="57" fillId="20" borderId="74" xfId="6" applyFont="1" applyFill="1" applyBorder="1"/>
    <xf numFmtId="0" fontId="56" fillId="20" borderId="74" xfId="6" applyFont="1" applyFill="1" applyBorder="1" applyAlignment="1">
      <alignment horizontal="center"/>
    </xf>
    <xf numFmtId="9" fontId="0" fillId="0" borderId="0" xfId="8" applyFont="1" applyAlignment="1">
      <alignment wrapText="1"/>
    </xf>
    <xf numFmtId="0" fontId="56" fillId="21" borderId="78" xfId="6" applyFont="1" applyFill="1" applyBorder="1"/>
    <xf numFmtId="3" fontId="51" fillId="20" borderId="88" xfId="6" applyNumberFormat="1" applyFont="1" applyFill="1" applyBorder="1"/>
    <xf numFmtId="3" fontId="60" fillId="20" borderId="0" xfId="6" applyNumberFormat="1" applyFont="1" applyFill="1"/>
    <xf numFmtId="3" fontId="51" fillId="20" borderId="0" xfId="6" applyNumberFormat="1" applyFont="1" applyFill="1"/>
    <xf numFmtId="0" fontId="56" fillId="20" borderId="0" xfId="6" applyFont="1" applyFill="1" applyAlignment="1">
      <alignment horizontal="center"/>
    </xf>
    <xf numFmtId="0" fontId="56" fillId="28" borderId="75" xfId="6" applyFont="1" applyFill="1" applyBorder="1" applyAlignment="1">
      <alignment horizontal="left"/>
    </xf>
    <xf numFmtId="0" fontId="56" fillId="28" borderId="0" xfId="6" applyFont="1" applyFill="1" applyAlignment="1">
      <alignment horizontal="left"/>
    </xf>
    <xf numFmtId="0" fontId="57" fillId="0" borderId="0" xfId="6" applyFont="1"/>
    <xf numFmtId="0" fontId="55" fillId="28" borderId="76" xfId="6" applyFont="1" applyFill="1" applyBorder="1" applyAlignment="1">
      <alignment horizontal="left"/>
    </xf>
    <xf numFmtId="0" fontId="55" fillId="28" borderId="77" xfId="6" applyFont="1" applyFill="1" applyBorder="1" applyAlignment="1">
      <alignment horizontal="left"/>
    </xf>
    <xf numFmtId="3" fontId="51" fillId="28" borderId="80" xfId="6" applyNumberFormat="1" applyFont="1" applyFill="1" applyBorder="1"/>
    <xf numFmtId="3" fontId="60" fillId="28" borderId="77" xfId="6" applyNumberFormat="1" applyFont="1" applyFill="1" applyBorder="1"/>
    <xf numFmtId="0" fontId="57" fillId="28" borderId="78" xfId="6" applyFont="1" applyFill="1" applyBorder="1"/>
    <xf numFmtId="0" fontId="56" fillId="21" borderId="75" xfId="6" applyFont="1" applyFill="1" applyBorder="1" applyAlignment="1">
      <alignment horizontal="left" vertical="center"/>
    </xf>
    <xf numFmtId="0" fontId="56" fillId="21" borderId="78" xfId="6" applyFont="1" applyFill="1" applyBorder="1" applyAlignment="1">
      <alignment horizontal="left" vertical="center"/>
    </xf>
    <xf numFmtId="180" fontId="51" fillId="21" borderId="75" xfId="6" applyNumberFormat="1" applyFont="1" applyFill="1" applyBorder="1"/>
    <xf numFmtId="4" fontId="51" fillId="21" borderId="75" xfId="6" applyNumberFormat="1" applyFont="1" applyFill="1" applyBorder="1"/>
    <xf numFmtId="0" fontId="57" fillId="28" borderId="80" xfId="6" applyFont="1" applyFill="1" applyBorder="1"/>
    <xf numFmtId="0" fontId="57" fillId="28" borderId="77" xfId="6" applyFont="1" applyFill="1" applyBorder="1"/>
    <xf numFmtId="0" fontId="66" fillId="20" borderId="0" xfId="6" applyFont="1" applyFill="1"/>
    <xf numFmtId="0" fontId="67" fillId="20" borderId="0" xfId="6" applyFont="1" applyFill="1" applyAlignment="1">
      <alignment horizontal="center"/>
    </xf>
    <xf numFmtId="0" fontId="64" fillId="28" borderId="91" xfId="6" applyFont="1" applyFill="1" applyBorder="1"/>
    <xf numFmtId="0" fontId="64" fillId="28" borderId="92" xfId="6" applyFont="1" applyFill="1" applyBorder="1"/>
    <xf numFmtId="4" fontId="50" fillId="28" borderId="92" xfId="6" applyNumberFormat="1" applyFont="1" applyFill="1" applyBorder="1"/>
    <xf numFmtId="4" fontId="50" fillId="28" borderId="93" xfId="6" applyNumberFormat="1" applyFont="1" applyFill="1" applyBorder="1"/>
    <xf numFmtId="180" fontId="50" fillId="28" borderId="93" xfId="6" applyNumberFormat="1" applyFont="1" applyFill="1" applyBorder="1"/>
    <xf numFmtId="0" fontId="64" fillId="20" borderId="94" xfId="6" applyFont="1" applyFill="1" applyBorder="1"/>
    <xf numFmtId="0" fontId="64" fillId="20" borderId="95" xfId="6" applyFont="1" applyFill="1" applyBorder="1"/>
    <xf numFmtId="4" fontId="50" fillId="20" borderId="95" xfId="6" applyNumberFormat="1" applyFont="1" applyFill="1" applyBorder="1"/>
    <xf numFmtId="4" fontId="50" fillId="20" borderId="96" xfId="6" applyNumberFormat="1" applyFont="1" applyFill="1" applyBorder="1"/>
    <xf numFmtId="180" fontId="50" fillId="20" borderId="96" xfId="6" applyNumberFormat="1" applyFont="1" applyFill="1" applyBorder="1"/>
    <xf numFmtId="0" fontId="68" fillId="30" borderId="88" xfId="6" applyFont="1" applyFill="1" applyBorder="1"/>
    <xf numFmtId="0" fontId="68" fillId="30" borderId="0" xfId="6" applyFont="1" applyFill="1"/>
    <xf numFmtId="4" fontId="60" fillId="30" borderId="0" xfId="6" applyNumberFormat="1" applyFont="1" applyFill="1"/>
    <xf numFmtId="4" fontId="60" fillId="30" borderId="79" xfId="6" applyNumberFormat="1" applyFont="1" applyFill="1" applyBorder="1"/>
    <xf numFmtId="180" fontId="60" fillId="30" borderId="79" xfId="6" applyNumberFormat="1" applyFont="1" applyFill="1" applyBorder="1"/>
    <xf numFmtId="0" fontId="69" fillId="0" borderId="97" xfId="6" applyFont="1" applyBorder="1"/>
    <xf numFmtId="0" fontId="69" fillId="0" borderId="98" xfId="6" applyFont="1" applyBorder="1"/>
    <xf numFmtId="0" fontId="57" fillId="0" borderId="98" xfId="6" applyFont="1" applyBorder="1"/>
    <xf numFmtId="164" fontId="70" fillId="0" borderId="99" xfId="6" applyNumberFormat="1" applyFont="1" applyBorder="1"/>
    <xf numFmtId="0" fontId="71" fillId="0" borderId="97" xfId="6" applyFont="1" applyBorder="1"/>
    <xf numFmtId="0" fontId="71" fillId="0" borderId="98" xfId="6" applyFont="1" applyBorder="1"/>
    <xf numFmtId="180" fontId="71" fillId="0" borderId="99" xfId="6" applyNumberFormat="1" applyFont="1" applyBorder="1"/>
    <xf numFmtId="184" fontId="47" fillId="0" borderId="0" xfId="6" applyNumberFormat="1" applyAlignment="1">
      <alignment wrapText="1"/>
    </xf>
    <xf numFmtId="170" fontId="30" fillId="0" borderId="0" xfId="1">
      <alignment vertical="center"/>
    </xf>
    <xf numFmtId="0" fontId="72" fillId="0" borderId="0" xfId="0" applyFont="1">
      <alignment vertical="center"/>
    </xf>
    <xf numFmtId="168" fontId="0" fillId="0" borderId="0" xfId="0" applyNumberFormat="1">
      <alignment vertical="center"/>
    </xf>
    <xf numFmtId="0" fontId="54" fillId="0" borderId="0" xfId="9" applyAlignment="1">
      <alignment wrapText="1"/>
    </xf>
    <xf numFmtId="0" fontId="50" fillId="21" borderId="75" xfId="9" applyFont="1" applyFill="1" applyBorder="1" applyAlignment="1">
      <alignment horizontal="left"/>
    </xf>
    <xf numFmtId="0" fontId="50" fillId="21" borderId="76" xfId="9" applyFont="1" applyFill="1" applyBorder="1" applyAlignment="1">
      <alignment horizontal="left"/>
    </xf>
    <xf numFmtId="0" fontId="51" fillId="22" borderId="75" xfId="9" applyFont="1" applyFill="1" applyBorder="1"/>
    <xf numFmtId="0" fontId="50" fillId="23" borderId="75" xfId="9" applyFont="1" applyFill="1" applyBorder="1"/>
    <xf numFmtId="0" fontId="50" fillId="24" borderId="75" xfId="9" applyFont="1" applyFill="1" applyBorder="1" applyAlignment="1">
      <alignment horizontal="right"/>
    </xf>
    <xf numFmtId="1" fontId="50" fillId="24" borderId="75" xfId="9" applyNumberFormat="1" applyFont="1" applyFill="1" applyBorder="1"/>
    <xf numFmtId="0" fontId="32" fillId="20" borderId="0" xfId="9" applyFont="1" applyFill="1"/>
    <xf numFmtId="182" fontId="32" fillId="20" borderId="0" xfId="9" applyNumberFormat="1" applyFont="1" applyFill="1"/>
    <xf numFmtId="0" fontId="55" fillId="24" borderId="75" xfId="9" applyFont="1" applyFill="1" applyBorder="1"/>
    <xf numFmtId="0" fontId="56" fillId="25" borderId="76" xfId="9" applyFont="1" applyFill="1" applyBorder="1"/>
    <xf numFmtId="0" fontId="56" fillId="25" borderId="78" xfId="9" applyFont="1" applyFill="1" applyBorder="1"/>
    <xf numFmtId="0" fontId="57" fillId="20" borderId="0" xfId="9" applyFont="1" applyFill="1"/>
    <xf numFmtId="3" fontId="51" fillId="21" borderId="83" xfId="9" applyNumberFormat="1" applyFont="1" applyFill="1" applyBorder="1"/>
    <xf numFmtId="3" fontId="60" fillId="21" borderId="75" xfId="9" applyNumberFormat="1" applyFont="1" applyFill="1" applyBorder="1" applyAlignment="1">
      <alignment horizontal="center"/>
    </xf>
    <xf numFmtId="4" fontId="51" fillId="21" borderId="75" xfId="9" applyNumberFormat="1" applyFont="1" applyFill="1" applyBorder="1" applyAlignment="1">
      <alignment horizontal="center"/>
    </xf>
    <xf numFmtId="4" fontId="50" fillId="21" borderId="84" xfId="9" applyNumberFormat="1" applyFont="1" applyFill="1" applyBorder="1" applyAlignment="1">
      <alignment horizontal="center"/>
    </xf>
    <xf numFmtId="3" fontId="51" fillId="21" borderId="75" xfId="9" applyNumberFormat="1" applyFont="1" applyFill="1" applyBorder="1" applyAlignment="1">
      <alignment horizontal="center"/>
    </xf>
    <xf numFmtId="4" fontId="50" fillId="21" borderId="76" xfId="9" applyNumberFormat="1" applyFont="1" applyFill="1" applyBorder="1" applyAlignment="1">
      <alignment horizontal="center"/>
    </xf>
    <xf numFmtId="0" fontId="56" fillId="21" borderId="75" xfId="9" applyFont="1" applyFill="1" applyBorder="1"/>
    <xf numFmtId="0" fontId="33" fillId="18" borderId="51" xfId="9" applyFont="1" applyFill="1" applyBorder="1" applyAlignment="1">
      <alignment vertical="center"/>
    </xf>
    <xf numFmtId="3" fontId="60" fillId="21" borderId="75" xfId="9" applyNumberFormat="1" applyFont="1" applyFill="1" applyBorder="1"/>
    <xf numFmtId="180" fontId="51" fillId="22" borderId="75" xfId="9" applyNumberFormat="1" applyFont="1" applyFill="1" applyBorder="1"/>
    <xf numFmtId="180" fontId="50" fillId="21" borderId="84" xfId="9" applyNumberFormat="1" applyFont="1" applyFill="1" applyBorder="1"/>
    <xf numFmtId="3" fontId="51" fillId="21" borderId="75" xfId="9" applyNumberFormat="1" applyFont="1" applyFill="1" applyBorder="1"/>
    <xf numFmtId="4" fontId="51" fillId="22" borderId="75" xfId="9" applyNumberFormat="1" applyFont="1" applyFill="1" applyBorder="1"/>
    <xf numFmtId="183" fontId="50" fillId="21" borderId="76" xfId="9" quotePrefix="1" applyNumberFormat="1" applyFont="1" applyFill="1" applyBorder="1"/>
    <xf numFmtId="183" fontId="50" fillId="21" borderId="76" xfId="9" applyNumberFormat="1" applyFont="1" applyFill="1" applyBorder="1"/>
    <xf numFmtId="175" fontId="51" fillId="22" borderId="75" xfId="9" applyNumberFormat="1" applyFont="1" applyFill="1" applyBorder="1"/>
    <xf numFmtId="3" fontId="51" fillId="22" borderId="75" xfId="9" applyNumberFormat="1" applyFont="1" applyFill="1" applyBorder="1"/>
    <xf numFmtId="0" fontId="33" fillId="18" borderId="11" xfId="9" applyFont="1" applyFill="1" applyBorder="1" applyAlignment="1">
      <alignment vertical="center"/>
    </xf>
    <xf numFmtId="0" fontId="56" fillId="28" borderId="75" xfId="9" applyFont="1" applyFill="1" applyBorder="1" applyAlignment="1">
      <alignment horizontal="right"/>
    </xf>
    <xf numFmtId="0" fontId="56" fillId="28" borderId="74" xfId="9" applyFont="1" applyFill="1" applyBorder="1" applyAlignment="1">
      <alignment horizontal="right"/>
    </xf>
    <xf numFmtId="3" fontId="51" fillId="20" borderId="86" xfId="9" applyNumberFormat="1" applyFont="1" applyFill="1" applyBorder="1"/>
    <xf numFmtId="3" fontId="60" fillId="20" borderId="74" xfId="9" applyNumberFormat="1" applyFont="1" applyFill="1" applyBorder="1"/>
    <xf numFmtId="4" fontId="51" fillId="20" borderId="74" xfId="9" applyNumberFormat="1" applyFont="1" applyFill="1" applyBorder="1"/>
    <xf numFmtId="180" fontId="50" fillId="28" borderId="84" xfId="9" applyNumberFormat="1" applyFont="1" applyFill="1" applyBorder="1"/>
    <xf numFmtId="3" fontId="51" fillId="20" borderId="74" xfId="9" applyNumberFormat="1" applyFont="1" applyFill="1" applyBorder="1"/>
    <xf numFmtId="0" fontId="57" fillId="20" borderId="74" xfId="9" applyFont="1" applyFill="1" applyBorder="1"/>
    <xf numFmtId="0" fontId="56" fillId="20" borderId="74" xfId="9" applyFont="1" applyFill="1" applyBorder="1" applyAlignment="1">
      <alignment horizontal="center"/>
    </xf>
    <xf numFmtId="0" fontId="56" fillId="21" borderId="78" xfId="9" applyFont="1" applyFill="1" applyBorder="1"/>
    <xf numFmtId="0" fontId="63" fillId="30" borderId="75" xfId="9" applyFont="1" applyFill="1" applyBorder="1" applyAlignment="1">
      <alignment horizontal="center"/>
    </xf>
    <xf numFmtId="0" fontId="63" fillId="30" borderId="0" xfId="9" applyFont="1" applyFill="1" applyAlignment="1">
      <alignment horizontal="center"/>
    </xf>
    <xf numFmtId="3" fontId="51" fillId="20" borderId="88" xfId="9" applyNumberFormat="1" applyFont="1" applyFill="1" applyBorder="1"/>
    <xf numFmtId="3" fontId="60" fillId="20" borderId="0" xfId="9" applyNumberFormat="1" applyFont="1" applyFill="1"/>
    <xf numFmtId="4" fontId="51" fillId="20" borderId="0" xfId="9" applyNumberFormat="1" applyFont="1" applyFill="1"/>
    <xf numFmtId="4" fontId="50" fillId="20" borderId="79" xfId="9" applyNumberFormat="1" applyFont="1" applyFill="1" applyBorder="1"/>
    <xf numFmtId="3" fontId="51" fillId="20" borderId="0" xfId="9" applyNumberFormat="1" applyFont="1" applyFill="1"/>
    <xf numFmtId="4" fontId="50" fillId="20" borderId="0" xfId="9" applyNumberFormat="1" applyFont="1" applyFill="1"/>
    <xf numFmtId="0" fontId="56" fillId="28" borderId="0" xfId="9" applyFont="1" applyFill="1" applyAlignment="1">
      <alignment horizontal="right"/>
    </xf>
    <xf numFmtId="0" fontId="56" fillId="20" borderId="0" xfId="9" applyFont="1" applyFill="1" applyAlignment="1">
      <alignment horizontal="center"/>
    </xf>
    <xf numFmtId="0" fontId="64" fillId="21" borderId="75" xfId="9" applyFont="1" applyFill="1" applyBorder="1" applyAlignment="1">
      <alignment horizontal="left"/>
    </xf>
    <xf numFmtId="0" fontId="64" fillId="21" borderId="78" xfId="9" applyFont="1" applyFill="1" applyBorder="1" applyAlignment="1">
      <alignment horizontal="left"/>
    </xf>
    <xf numFmtId="3" fontId="51" fillId="22" borderId="83" xfId="9" applyNumberFormat="1" applyFont="1" applyFill="1" applyBorder="1"/>
    <xf numFmtId="0" fontId="64" fillId="21" borderId="77" xfId="9" applyFont="1" applyFill="1" applyBorder="1" applyAlignment="1">
      <alignment horizontal="left"/>
    </xf>
    <xf numFmtId="3" fontId="51" fillId="31" borderId="80" xfId="9" applyNumberFormat="1" applyFont="1" applyFill="1" applyBorder="1"/>
    <xf numFmtId="3" fontId="51" fillId="31" borderId="78" xfId="9" applyNumberFormat="1" applyFont="1" applyFill="1" applyBorder="1"/>
    <xf numFmtId="9" fontId="51" fillId="21" borderId="75" xfId="9" applyNumberFormat="1" applyFont="1" applyFill="1" applyBorder="1" applyAlignment="1">
      <alignment horizontal="center"/>
    </xf>
    <xf numFmtId="0" fontId="50" fillId="21" borderId="84" xfId="9" applyFont="1" applyFill="1" applyBorder="1"/>
    <xf numFmtId="0" fontId="65" fillId="20" borderId="0" xfId="9" applyFont="1" applyFill="1" applyAlignment="1">
      <alignment horizontal="right"/>
    </xf>
    <xf numFmtId="0" fontId="55" fillId="21" borderId="75" xfId="9" applyFont="1" applyFill="1" applyBorder="1" applyAlignment="1">
      <alignment horizontal="right"/>
    </xf>
    <xf numFmtId="0" fontId="56" fillId="21" borderId="0" xfId="9" applyFont="1" applyFill="1"/>
    <xf numFmtId="0" fontId="57" fillId="20" borderId="90" xfId="9" applyFont="1" applyFill="1" applyBorder="1"/>
    <xf numFmtId="0" fontId="56" fillId="21" borderId="76" xfId="9" applyFont="1" applyFill="1" applyBorder="1"/>
    <xf numFmtId="0" fontId="56" fillId="21" borderId="77" xfId="9" applyFont="1" applyFill="1" applyBorder="1"/>
    <xf numFmtId="3" fontId="51" fillId="21" borderId="80" xfId="9" applyNumberFormat="1" applyFont="1" applyFill="1" applyBorder="1"/>
    <xf numFmtId="3" fontId="60" fillId="21" borderId="78" xfId="9" applyNumberFormat="1" applyFont="1" applyFill="1" applyBorder="1"/>
    <xf numFmtId="3" fontId="51" fillId="21" borderId="77" xfId="9" applyNumberFormat="1" applyFont="1" applyFill="1" applyBorder="1"/>
    <xf numFmtId="0" fontId="56" fillId="21" borderId="76" xfId="9" applyFont="1" applyFill="1" applyBorder="1" applyAlignment="1">
      <alignment horizontal="left"/>
    </xf>
    <xf numFmtId="0" fontId="56" fillId="21" borderId="77" xfId="9" applyFont="1" applyFill="1" applyBorder="1" applyAlignment="1">
      <alignment horizontal="left"/>
    </xf>
    <xf numFmtId="180" fontId="51" fillId="21" borderId="75" xfId="9" applyNumberFormat="1" applyFont="1" applyFill="1" applyBorder="1" applyAlignment="1">
      <alignment horizontal="center"/>
    </xf>
    <xf numFmtId="0" fontId="56" fillId="28" borderId="75" xfId="9" applyFont="1" applyFill="1" applyBorder="1" applyAlignment="1">
      <alignment horizontal="left"/>
    </xf>
    <xf numFmtId="0" fontId="56" fillId="28" borderId="0" xfId="9" applyFont="1" applyFill="1" applyAlignment="1">
      <alignment horizontal="left"/>
    </xf>
    <xf numFmtId="0" fontId="57" fillId="0" borderId="0" xfId="9" applyFont="1"/>
    <xf numFmtId="0" fontId="55" fillId="28" borderId="76" xfId="9" applyFont="1" applyFill="1" applyBorder="1" applyAlignment="1">
      <alignment horizontal="left"/>
    </xf>
    <xf numFmtId="0" fontId="55" fillId="28" borderId="77" xfId="9" applyFont="1" applyFill="1" applyBorder="1" applyAlignment="1">
      <alignment horizontal="left"/>
    </xf>
    <xf numFmtId="3" fontId="51" fillId="28" borderId="80" xfId="9" applyNumberFormat="1" applyFont="1" applyFill="1" applyBorder="1"/>
    <xf numFmtId="3" fontId="60" fillId="28" borderId="77" xfId="9" applyNumberFormat="1" applyFont="1" applyFill="1" applyBorder="1"/>
    <xf numFmtId="0" fontId="57" fillId="28" borderId="78" xfId="9" applyFont="1" applyFill="1" applyBorder="1"/>
    <xf numFmtId="0" fontId="56" fillId="21" borderId="75" xfId="9" applyFont="1" applyFill="1" applyBorder="1" applyAlignment="1">
      <alignment horizontal="left" vertical="center"/>
    </xf>
    <xf numFmtId="0" fontId="56" fillId="21" borderId="78" xfId="9" applyFont="1" applyFill="1" applyBorder="1" applyAlignment="1">
      <alignment horizontal="left" vertical="center"/>
    </xf>
    <xf numFmtId="180" fontId="51" fillId="21" borderId="75" xfId="9" applyNumberFormat="1" applyFont="1" applyFill="1" applyBorder="1"/>
    <xf numFmtId="4" fontId="51" fillId="21" borderId="75" xfId="9" applyNumberFormat="1" applyFont="1" applyFill="1" applyBorder="1"/>
    <xf numFmtId="0" fontId="57" fillId="28" borderId="80" xfId="9" applyFont="1" applyFill="1" applyBorder="1"/>
    <xf numFmtId="0" fontId="57" fillId="28" borderId="77" xfId="9" applyFont="1" applyFill="1" applyBorder="1"/>
    <xf numFmtId="0" fontId="66" fillId="20" borderId="0" xfId="9" applyFont="1" applyFill="1"/>
    <xf numFmtId="0" fontId="67" fillId="20" borderId="0" xfId="9" applyFont="1" applyFill="1" applyAlignment="1">
      <alignment horizontal="center"/>
    </xf>
    <xf numFmtId="0" fontId="64" fillId="28" borderId="91" xfId="9" applyFont="1" applyFill="1" applyBorder="1"/>
    <xf numFmtId="0" fontId="64" fillId="28" borderId="92" xfId="9" applyFont="1" applyFill="1" applyBorder="1"/>
    <xf numFmtId="4" fontId="50" fillId="28" borderId="92" xfId="9" applyNumberFormat="1" applyFont="1" applyFill="1" applyBorder="1"/>
    <xf numFmtId="4" fontId="50" fillId="28" borderId="93" xfId="9" applyNumberFormat="1" applyFont="1" applyFill="1" applyBorder="1"/>
    <xf numFmtId="180" fontId="50" fillId="28" borderId="93" xfId="9" applyNumberFormat="1" applyFont="1" applyFill="1" applyBorder="1"/>
    <xf numFmtId="0" fontId="64" fillId="20" borderId="94" xfId="9" applyFont="1" applyFill="1" applyBorder="1"/>
    <xf numFmtId="0" fontId="64" fillId="20" borderId="95" xfId="9" applyFont="1" applyFill="1" applyBorder="1"/>
    <xf numFmtId="4" fontId="50" fillId="20" borderId="95" xfId="9" applyNumberFormat="1" applyFont="1" applyFill="1" applyBorder="1"/>
    <xf numFmtId="4" fontId="50" fillId="20" borderId="96" xfId="9" applyNumberFormat="1" applyFont="1" applyFill="1" applyBorder="1"/>
    <xf numFmtId="180" fontId="50" fillId="20" borderId="96" xfId="9" applyNumberFormat="1" applyFont="1" applyFill="1" applyBorder="1"/>
    <xf numFmtId="0" fontId="68" fillId="30" borderId="88" xfId="9" applyFont="1" applyFill="1" applyBorder="1"/>
    <xf numFmtId="0" fontId="68" fillId="30" borderId="0" xfId="9" applyFont="1" applyFill="1"/>
    <xf numFmtId="4" fontId="60" fillId="30" borderId="0" xfId="9" applyNumberFormat="1" applyFont="1" applyFill="1"/>
    <xf numFmtId="4" fontId="60" fillId="30" borderId="79" xfId="9" applyNumberFormat="1" applyFont="1" applyFill="1" applyBorder="1"/>
    <xf numFmtId="180" fontId="60" fillId="30" borderId="79" xfId="9" applyNumberFormat="1" applyFont="1" applyFill="1" applyBorder="1"/>
    <xf numFmtId="0" fontId="69" fillId="0" borderId="97" xfId="9" applyFont="1" applyBorder="1"/>
    <xf numFmtId="0" fontId="69" fillId="0" borderId="98" xfId="9" applyFont="1" applyBorder="1"/>
    <xf numFmtId="0" fontId="57" fillId="0" borderId="98" xfId="9" applyFont="1" applyBorder="1"/>
    <xf numFmtId="164" fontId="70" fillId="0" borderId="99" xfId="9" applyNumberFormat="1" applyFont="1" applyBorder="1"/>
    <xf numFmtId="0" fontId="71" fillId="0" borderId="97" xfId="9" applyFont="1" applyBorder="1"/>
    <xf numFmtId="0" fontId="71" fillId="0" borderId="98" xfId="9" applyFont="1" applyBorder="1"/>
    <xf numFmtId="180" fontId="71" fillId="0" borderId="99" xfId="9" applyNumberFormat="1" applyFont="1" applyBorder="1"/>
    <xf numFmtId="184" fontId="54" fillId="0" borderId="0" xfId="9" applyNumberFormat="1" applyAlignment="1">
      <alignment wrapText="1"/>
    </xf>
    <xf numFmtId="0" fontId="5" fillId="0" borderId="0" xfId="10"/>
    <xf numFmtId="166" fontId="5" fillId="0" borderId="0" xfId="10" applyNumberFormat="1"/>
    <xf numFmtId="166" fontId="0" fillId="0" borderId="0" xfId="11" applyFont="1"/>
    <xf numFmtId="0" fontId="73" fillId="0" borderId="0" xfId="10" applyFont="1"/>
    <xf numFmtId="0" fontId="74" fillId="0" borderId="0" xfId="10" applyFont="1"/>
    <xf numFmtId="16" fontId="5" fillId="0" borderId="0" xfId="10" applyNumberFormat="1"/>
    <xf numFmtId="0" fontId="5" fillId="0" borderId="100" xfId="10" applyBorder="1"/>
    <xf numFmtId="185" fontId="5" fillId="0" borderId="0" xfId="10" applyNumberFormat="1"/>
    <xf numFmtId="0" fontId="5" fillId="0" borderId="0" xfId="10" applyAlignment="1">
      <alignment horizontal="left"/>
    </xf>
    <xf numFmtId="0" fontId="5" fillId="0" borderId="0" xfId="10" pivotButton="1"/>
    <xf numFmtId="0" fontId="0" fillId="0" borderId="105" xfId="0" applyBorder="1">
      <alignment vertical="center"/>
    </xf>
    <xf numFmtId="0" fontId="5" fillId="32" borderId="0" xfId="10" applyFill="1"/>
    <xf numFmtId="16" fontId="5" fillId="32" borderId="0" xfId="10" applyNumberFormat="1" applyFill="1"/>
    <xf numFmtId="0" fontId="5" fillId="0" borderId="102" xfId="10" applyBorder="1"/>
    <xf numFmtId="16" fontId="0" fillId="0" borderId="0" xfId="0" applyNumberFormat="1">
      <alignment vertical="center"/>
    </xf>
    <xf numFmtId="0" fontId="75" fillId="0" borderId="0" xfId="0" applyFont="1">
      <alignment vertical="center"/>
    </xf>
    <xf numFmtId="0" fontId="75" fillId="0" borderId="105" xfId="0" applyFont="1" applyBorder="1">
      <alignment vertical="center"/>
    </xf>
    <xf numFmtId="37" fontId="10" fillId="0" borderId="51" xfId="0" applyNumberFormat="1" applyFont="1" applyBorder="1" applyAlignment="1">
      <alignment horizontal="left" vertical="center" indent="1"/>
    </xf>
    <xf numFmtId="0" fontId="11" fillId="0" borderId="51" xfId="0" applyFont="1" applyBorder="1" applyAlignment="1">
      <alignment horizontal="left" vertical="center" wrapText="1" indent="1"/>
    </xf>
    <xf numFmtId="49" fontId="10" fillId="0" borderId="51" xfId="0" applyNumberFormat="1" applyFont="1" applyBorder="1" applyAlignment="1">
      <alignment horizontal="left" vertical="center" wrapText="1" indent="1"/>
    </xf>
    <xf numFmtId="3" fontId="11" fillId="2" borderId="70" xfId="0" applyNumberFormat="1" applyFont="1" applyFill="1" applyBorder="1" applyAlignment="1">
      <alignment horizontal="right" vertical="center" wrapText="1" indent="1"/>
    </xf>
    <xf numFmtId="3" fontId="17" fillId="2" borderId="70" xfId="0" applyNumberFormat="1" applyFont="1" applyFill="1" applyBorder="1" applyAlignment="1">
      <alignment horizontal="right" vertical="center" wrapText="1" indent="1"/>
    </xf>
    <xf numFmtId="3" fontId="17" fillId="2" borderId="49" xfId="0" applyNumberFormat="1" applyFont="1" applyFill="1" applyBorder="1" applyAlignment="1">
      <alignment horizontal="right" vertical="center" wrapText="1" indent="1"/>
    </xf>
    <xf numFmtId="0" fontId="11" fillId="0" borderId="1" xfId="0" applyFont="1" applyBorder="1" applyAlignment="1">
      <alignment horizontal="center" vertical="center"/>
    </xf>
    <xf numFmtId="0" fontId="11" fillId="0" borderId="2" xfId="2" applyFont="1" applyBorder="1" applyAlignment="1" applyProtection="1">
      <alignment horizontal="center" vertical="center"/>
    </xf>
    <xf numFmtId="0" fontId="11" fillId="0" borderId="54" xfId="2" applyFont="1" applyBorder="1" applyAlignment="1" applyProtection="1">
      <alignment horizontal="center" vertical="center"/>
    </xf>
    <xf numFmtId="0" fontId="11" fillId="0" borderId="49" xfId="2" applyFont="1" applyBorder="1" applyAlignment="1" applyProtection="1">
      <alignment horizontal="center" vertical="center"/>
    </xf>
    <xf numFmtId="3" fontId="10" fillId="0" borderId="54" xfId="0" applyNumberFormat="1" applyFont="1" applyBorder="1" applyAlignment="1">
      <alignment horizontal="right" vertical="center" wrapText="1" indent="1"/>
    </xf>
    <xf numFmtId="3" fontId="10" fillId="0" borderId="49" xfId="1" applyNumberFormat="1" applyFont="1" applyBorder="1" applyAlignment="1" applyProtection="1">
      <alignment horizontal="right" vertical="center" wrapText="1" indent="1"/>
    </xf>
    <xf numFmtId="3" fontId="10" fillId="0" borderId="57" xfId="1" applyNumberFormat="1" applyFont="1" applyBorder="1" applyAlignment="1" applyProtection="1">
      <alignment horizontal="right" vertical="center" wrapText="1" indent="1"/>
    </xf>
    <xf numFmtId="3" fontId="11" fillId="2" borderId="56" xfId="0" applyNumberFormat="1" applyFont="1" applyFill="1" applyBorder="1" applyAlignment="1">
      <alignment horizontal="right" vertical="center" wrapText="1" indent="1"/>
    </xf>
    <xf numFmtId="3" fontId="11" fillId="2" borderId="50" xfId="1" applyNumberFormat="1" applyFont="1" applyFill="1" applyBorder="1" applyAlignment="1" applyProtection="1">
      <alignment horizontal="right" vertical="center" wrapText="1" indent="1"/>
    </xf>
    <xf numFmtId="3" fontId="11" fillId="2" borderId="57" xfId="1" applyNumberFormat="1" applyFont="1" applyFill="1" applyBorder="1" applyAlignment="1" applyProtection="1">
      <alignment horizontal="right" vertical="center" wrapText="1" indent="1"/>
    </xf>
    <xf numFmtId="3" fontId="13" fillId="0" borderId="16" xfId="0" applyNumberFormat="1" applyFont="1" applyBorder="1" applyAlignment="1"/>
    <xf numFmtId="3" fontId="13" fillId="0" borderId="0" xfId="0" applyNumberFormat="1" applyFont="1" applyAlignment="1"/>
    <xf numFmtId="3" fontId="10" fillId="0" borderId="106" xfId="1" applyNumberFormat="1" applyFont="1" applyBorder="1" applyAlignment="1" applyProtection="1">
      <alignment horizontal="right" vertical="center" wrapText="1" indent="1"/>
    </xf>
    <xf numFmtId="3" fontId="10" fillId="0" borderId="56" xfId="0" applyNumberFormat="1" applyFont="1" applyBorder="1" applyAlignment="1">
      <alignment horizontal="right" vertical="center" wrapText="1" indent="1"/>
    </xf>
    <xf numFmtId="3" fontId="10" fillId="0" borderId="50" xfId="0" applyNumberFormat="1" applyFont="1" applyBorder="1" applyAlignment="1">
      <alignment horizontal="right" vertical="center" wrapText="1" indent="1"/>
    </xf>
    <xf numFmtId="3" fontId="11" fillId="2" borderId="50" xfId="0" applyNumberFormat="1" applyFont="1" applyFill="1" applyBorder="1" applyAlignment="1">
      <alignment horizontal="right" vertical="center" wrapText="1" indent="1"/>
    </xf>
    <xf numFmtId="3" fontId="11" fillId="2" borderId="57" xfId="0" applyNumberFormat="1" applyFont="1" applyFill="1" applyBorder="1" applyAlignment="1">
      <alignment horizontal="right" vertical="center" wrapText="1" indent="1"/>
    </xf>
    <xf numFmtId="3" fontId="10" fillId="0" borderId="16" xfId="0" applyNumberFormat="1" applyFont="1" applyBorder="1">
      <alignment vertical="center"/>
    </xf>
    <xf numFmtId="3" fontId="10" fillId="0" borderId="0" xfId="0" applyNumberFormat="1" applyFont="1">
      <alignment vertical="center"/>
    </xf>
    <xf numFmtId="3" fontId="10" fillId="0" borderId="106" xfId="0" applyNumberFormat="1" applyFont="1" applyBorder="1">
      <alignment vertical="center"/>
    </xf>
    <xf numFmtId="3" fontId="17" fillId="2" borderId="56" xfId="0" applyNumberFormat="1" applyFont="1" applyFill="1" applyBorder="1" applyAlignment="1">
      <alignment horizontal="right" vertical="center" wrapText="1" indent="1"/>
    </xf>
    <xf numFmtId="3" fontId="17" fillId="2" borderId="50" xfId="0" applyNumberFormat="1" applyFont="1" applyFill="1" applyBorder="1" applyAlignment="1">
      <alignment horizontal="right" vertical="center" wrapText="1" indent="1"/>
    </xf>
    <xf numFmtId="3" fontId="17" fillId="2" borderId="57" xfId="0" applyNumberFormat="1" applyFont="1" applyFill="1" applyBorder="1" applyAlignment="1">
      <alignment horizontal="right" vertical="center" wrapText="1" indent="1"/>
    </xf>
    <xf numFmtId="0" fontId="0" fillId="0" borderId="16" xfId="0" applyBorder="1" applyProtection="1">
      <alignment vertical="center"/>
      <protection locked="0"/>
    </xf>
    <xf numFmtId="0" fontId="0" fillId="0" borderId="10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45" xfId="0" applyBorder="1" applyProtection="1">
      <alignment vertical="center"/>
      <protection locked="0"/>
    </xf>
    <xf numFmtId="3" fontId="10" fillId="0" borderId="70" xfId="1" applyNumberFormat="1" applyFont="1" applyBorder="1" applyAlignment="1" applyProtection="1">
      <alignment horizontal="right" vertical="center" wrapText="1" indent="1"/>
      <protection locked="0"/>
    </xf>
    <xf numFmtId="3" fontId="11" fillId="2" borderId="70" xfId="1" applyNumberFormat="1" applyFont="1" applyFill="1" applyBorder="1" applyAlignment="1" applyProtection="1">
      <alignment horizontal="right" vertical="center" wrapText="1" indent="1"/>
    </xf>
    <xf numFmtId="3" fontId="10" fillId="0" borderId="56" xfId="1" applyNumberFormat="1" applyFont="1" applyBorder="1" applyAlignment="1" applyProtection="1">
      <alignment horizontal="right" vertical="center" wrapText="1" indent="1"/>
    </xf>
    <xf numFmtId="3" fontId="10" fillId="0" borderId="50" xfId="1" applyNumberFormat="1" applyFont="1" applyBorder="1" applyAlignment="1" applyProtection="1">
      <alignment horizontal="right" vertical="center" wrapText="1" indent="1"/>
    </xf>
    <xf numFmtId="3" fontId="10" fillId="0" borderId="16" xfId="1" applyNumberFormat="1" applyFont="1" applyBorder="1" applyAlignment="1" applyProtection="1">
      <alignment horizontal="right" vertical="center" wrapText="1" indent="1"/>
    </xf>
    <xf numFmtId="171" fontId="11" fillId="0" borderId="21" xfId="0" applyNumberFormat="1" applyFont="1" applyBorder="1" applyAlignment="1">
      <alignment horizontal="center" vertical="center"/>
    </xf>
    <xf numFmtId="171" fontId="11" fillId="0" borderId="17" xfId="0" applyNumberFormat="1" applyFont="1" applyBorder="1" applyAlignment="1">
      <alignment horizontal="center" vertical="center"/>
    </xf>
    <xf numFmtId="172" fontId="11" fillId="0" borderId="21" xfId="0" applyNumberFormat="1" applyFont="1" applyBorder="1">
      <alignment vertical="center"/>
    </xf>
    <xf numFmtId="172" fontId="10" fillId="0" borderId="43" xfId="0" applyNumberFormat="1" applyFont="1" applyBorder="1">
      <alignment vertical="center"/>
    </xf>
    <xf numFmtId="172" fontId="11" fillId="0" borderId="16" xfId="0" applyNumberFormat="1" applyFont="1" applyBorder="1">
      <alignment vertical="center"/>
    </xf>
    <xf numFmtId="172" fontId="11" fillId="0" borderId="9" xfId="0" applyNumberFormat="1" applyFont="1" applyBorder="1">
      <alignment vertical="center"/>
    </xf>
    <xf numFmtId="172" fontId="10" fillId="0" borderId="17" xfId="0" applyNumberFormat="1" applyFont="1" applyBorder="1">
      <alignment vertical="center"/>
    </xf>
    <xf numFmtId="9" fontId="49" fillId="33" borderId="15" xfId="12" applyFont="1" applyFill="1" applyBorder="1" applyAlignment="1">
      <alignment vertical="center"/>
    </xf>
    <xf numFmtId="0" fontId="0" fillId="0" borderId="0" xfId="0" applyAlignment="1"/>
    <xf numFmtId="0" fontId="77" fillId="0" borderId="0" xfId="13" applyFont="1"/>
    <xf numFmtId="0" fontId="78" fillId="0" borderId="0" xfId="13"/>
    <xf numFmtId="186" fontId="77" fillId="34" borderId="0" xfId="13" applyNumberFormat="1" applyFont="1" applyFill="1"/>
    <xf numFmtId="0" fontId="77" fillId="34" borderId="0" xfId="13" applyFont="1" applyFill="1"/>
    <xf numFmtId="186" fontId="77" fillId="0" borderId="0" xfId="13" applyNumberFormat="1" applyFont="1"/>
    <xf numFmtId="0" fontId="77" fillId="0" borderId="0" xfId="13" quotePrefix="1" applyFont="1"/>
    <xf numFmtId="187" fontId="77" fillId="0" borderId="0" xfId="13" applyNumberFormat="1" applyFont="1"/>
    <xf numFmtId="188" fontId="77" fillId="0" borderId="0" xfId="13" applyNumberFormat="1" applyFont="1"/>
    <xf numFmtId="186" fontId="77" fillId="35" borderId="0" xfId="13" applyNumberFormat="1" applyFont="1" applyFill="1"/>
    <xf numFmtId="0" fontId="77" fillId="35" borderId="0" xfId="13" applyFont="1" applyFill="1"/>
    <xf numFmtId="0" fontId="72" fillId="0" borderId="21" xfId="0" applyFont="1" applyBorder="1">
      <alignment vertical="center"/>
    </xf>
    <xf numFmtId="0" fontId="0" fillId="0" borderId="44" xfId="0" applyBorder="1">
      <alignment vertical="center"/>
    </xf>
    <xf numFmtId="0" fontId="0" fillId="0" borderId="47" xfId="0" applyBorder="1">
      <alignment vertical="center"/>
    </xf>
    <xf numFmtId="0" fontId="0" fillId="0" borderId="16" xfId="0" applyBorder="1">
      <alignment vertical="center"/>
    </xf>
    <xf numFmtId="0" fontId="0" fillId="0" borderId="106" xfId="0" applyBorder="1">
      <alignment vertical="center"/>
    </xf>
    <xf numFmtId="0" fontId="0" fillId="33" borderId="16" xfId="0" applyFill="1" applyBorder="1">
      <alignment vertical="center"/>
    </xf>
    <xf numFmtId="0" fontId="75" fillId="0" borderId="106" xfId="0" applyFont="1" applyBorder="1">
      <alignment vertical="center"/>
    </xf>
    <xf numFmtId="0" fontId="72" fillId="0" borderId="16" xfId="0" applyFont="1" applyBorder="1">
      <alignment vertical="center"/>
    </xf>
    <xf numFmtId="170" fontId="30" fillId="0" borderId="0" xfId="1" applyBorder="1">
      <alignment vertical="center"/>
    </xf>
    <xf numFmtId="0" fontId="0" fillId="0" borderId="17" xfId="0" applyBorder="1">
      <alignment vertical="center"/>
    </xf>
    <xf numFmtId="0" fontId="0" fillId="0" borderId="31" xfId="0" applyBorder="1">
      <alignment vertical="center"/>
    </xf>
    <xf numFmtId="0" fontId="72" fillId="0" borderId="31" xfId="0" applyFont="1" applyBorder="1">
      <alignment vertical="center"/>
    </xf>
    <xf numFmtId="170" fontId="0" fillId="0" borderId="31" xfId="0" applyNumberFormat="1" applyBorder="1">
      <alignment vertical="center"/>
    </xf>
    <xf numFmtId="0" fontId="75" fillId="0" borderId="45" xfId="0" applyFont="1" applyBorder="1">
      <alignment vertical="center"/>
    </xf>
    <xf numFmtId="0" fontId="75" fillId="0" borderId="47" xfId="0" applyFont="1" applyBorder="1">
      <alignment vertical="center"/>
    </xf>
    <xf numFmtId="0" fontId="0" fillId="33" borderId="21" xfId="0" applyFill="1" applyBorder="1">
      <alignment vertical="center"/>
    </xf>
    <xf numFmtId="170" fontId="0" fillId="0" borderId="47" xfId="0" applyNumberFormat="1" applyBorder="1">
      <alignment vertical="center"/>
    </xf>
    <xf numFmtId="0" fontId="76" fillId="0" borderId="17" xfId="0" applyFont="1" applyBorder="1">
      <alignment vertical="center"/>
    </xf>
    <xf numFmtId="0" fontId="0" fillId="0" borderId="45" xfId="0" applyBorder="1">
      <alignment vertical="center"/>
    </xf>
    <xf numFmtId="14" fontId="0" fillId="0" borderId="0" xfId="0" applyNumberFormat="1">
      <alignment vertical="center"/>
    </xf>
    <xf numFmtId="170" fontId="72" fillId="0" borderId="0" xfId="1" applyFont="1">
      <alignment vertical="center"/>
    </xf>
    <xf numFmtId="0" fontId="5" fillId="0" borderId="101" xfId="10" applyBorder="1"/>
    <xf numFmtId="0" fontId="5" fillId="0" borderId="107" xfId="10" applyBorder="1"/>
    <xf numFmtId="9" fontId="75" fillId="0" borderId="0" xfId="12" applyFont="1" applyAlignment="1">
      <alignment vertical="center"/>
    </xf>
    <xf numFmtId="0" fontId="5" fillId="0" borderId="9" xfId="10" applyBorder="1"/>
    <xf numFmtId="166" fontId="5" fillId="0" borderId="46" xfId="10" applyNumberFormat="1" applyBorder="1"/>
    <xf numFmtId="9" fontId="75" fillId="0" borderId="45" xfId="12" applyFont="1" applyBorder="1" applyAlignment="1">
      <alignment vertical="center"/>
    </xf>
    <xf numFmtId="165" fontId="0" fillId="0" borderId="0" xfId="0" applyNumberFormat="1">
      <alignment vertical="center"/>
    </xf>
    <xf numFmtId="170" fontId="79" fillId="32" borderId="102" xfId="1" applyFont="1" applyFill="1" applyBorder="1">
      <alignment vertical="center"/>
    </xf>
    <xf numFmtId="0" fontId="5" fillId="0" borderId="108" xfId="10" applyBorder="1"/>
    <xf numFmtId="16" fontId="80" fillId="37" borderId="0" xfId="14" applyNumberFormat="1" applyBorder="1"/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6" fontId="5" fillId="0" borderId="102" xfId="10" applyNumberFormat="1" applyBorder="1"/>
    <xf numFmtId="0" fontId="4" fillId="0" borderId="0" xfId="15"/>
    <xf numFmtId="0" fontId="4" fillId="0" borderId="0" xfId="15" applyAlignment="1">
      <alignment horizontal="left"/>
    </xf>
    <xf numFmtId="0" fontId="73" fillId="0" borderId="0" xfId="15" applyFont="1"/>
    <xf numFmtId="0" fontId="73" fillId="0" borderId="0" xfId="15" applyFont="1" applyAlignment="1">
      <alignment horizontal="left"/>
    </xf>
    <xf numFmtId="0" fontId="82" fillId="0" borderId="0" xfId="0" applyFont="1">
      <alignment vertical="center"/>
    </xf>
    <xf numFmtId="0" fontId="5" fillId="19" borderId="0" xfId="10" applyFill="1"/>
    <xf numFmtId="0" fontId="0" fillId="0" borderId="0" xfId="0" applyAlignment="1">
      <alignment horizontal="left" vertical="center" indent="2"/>
    </xf>
    <xf numFmtId="0" fontId="31" fillId="0" borderId="0" xfId="0" applyFont="1">
      <alignment vertical="center"/>
    </xf>
    <xf numFmtId="0" fontId="82" fillId="38" borderId="0" xfId="0" applyFont="1" applyFill="1">
      <alignment vertical="center"/>
    </xf>
    <xf numFmtId="0" fontId="82" fillId="33" borderId="0" xfId="0" applyFont="1" applyFill="1">
      <alignment vertical="center"/>
    </xf>
    <xf numFmtId="0" fontId="86" fillId="33" borderId="0" xfId="0" applyFont="1" applyFill="1">
      <alignment vertical="center"/>
    </xf>
    <xf numFmtId="0" fontId="82" fillId="16" borderId="0" xfId="0" applyFont="1" applyFill="1">
      <alignment vertical="center"/>
    </xf>
    <xf numFmtId="170" fontId="30" fillId="33" borderId="0" xfId="1" applyFill="1">
      <alignment vertical="center"/>
    </xf>
    <xf numFmtId="170" fontId="72" fillId="33" borderId="0" xfId="1" applyFont="1" applyFill="1">
      <alignment vertical="center"/>
    </xf>
    <xf numFmtId="170" fontId="72" fillId="16" borderId="0" xfId="1" applyFont="1" applyFill="1">
      <alignment vertical="center"/>
    </xf>
    <xf numFmtId="170" fontId="30" fillId="16" borderId="0" xfId="1" applyFill="1">
      <alignment vertical="center"/>
    </xf>
    <xf numFmtId="0" fontId="82" fillId="33" borderId="4" xfId="0" applyFont="1" applyFill="1" applyBorder="1">
      <alignment vertical="center"/>
    </xf>
    <xf numFmtId="0" fontId="82" fillId="33" borderId="9" xfId="0" applyFont="1" applyFill="1" applyBorder="1">
      <alignment vertical="center"/>
    </xf>
    <xf numFmtId="170" fontId="72" fillId="33" borderId="9" xfId="1" applyFont="1" applyFill="1" applyBorder="1">
      <alignment vertical="center"/>
    </xf>
    <xf numFmtId="170" fontId="72" fillId="33" borderId="46" xfId="1" applyFont="1" applyFill="1" applyBorder="1">
      <alignment vertical="center"/>
    </xf>
    <xf numFmtId="0" fontId="82" fillId="16" borderId="4" xfId="0" applyFont="1" applyFill="1" applyBorder="1">
      <alignment vertical="center"/>
    </xf>
    <xf numFmtId="0" fontId="82" fillId="16" borderId="9" xfId="0" applyFont="1" applyFill="1" applyBorder="1">
      <alignment vertical="center"/>
    </xf>
    <xf numFmtId="170" fontId="72" fillId="16" borderId="9" xfId="1" applyFont="1" applyFill="1" applyBorder="1">
      <alignment vertical="center"/>
    </xf>
    <xf numFmtId="170" fontId="72" fillId="16" borderId="46" xfId="1" applyFont="1" applyFill="1" applyBorder="1">
      <alignment vertical="center"/>
    </xf>
    <xf numFmtId="170" fontId="72" fillId="38" borderId="0" xfId="1" applyFont="1" applyFill="1">
      <alignment vertical="center"/>
    </xf>
    <xf numFmtId="170" fontId="30" fillId="38" borderId="0" xfId="1" applyFill="1">
      <alignment vertical="center"/>
    </xf>
    <xf numFmtId="0" fontId="86" fillId="38" borderId="0" xfId="0" applyFont="1" applyFill="1" applyAlignment="1">
      <alignment horizontal="left" vertical="center" indent="1"/>
    </xf>
    <xf numFmtId="0" fontId="82" fillId="38" borderId="4" xfId="0" applyFont="1" applyFill="1" applyBorder="1">
      <alignment vertical="center"/>
    </xf>
    <xf numFmtId="0" fontId="82" fillId="38" borderId="9" xfId="0" applyFont="1" applyFill="1" applyBorder="1">
      <alignment vertical="center"/>
    </xf>
    <xf numFmtId="170" fontId="72" fillId="38" borderId="9" xfId="1" applyFont="1" applyFill="1" applyBorder="1">
      <alignment vertical="center"/>
    </xf>
    <xf numFmtId="170" fontId="72" fillId="38" borderId="46" xfId="1" applyFont="1" applyFill="1" applyBorder="1">
      <alignment vertical="center"/>
    </xf>
    <xf numFmtId="170" fontId="72" fillId="33" borderId="0" xfId="1" applyFont="1" applyFill="1" applyBorder="1">
      <alignment vertical="center"/>
    </xf>
    <xf numFmtId="0" fontId="84" fillId="16" borderId="0" xfId="0" applyFont="1" applyFill="1">
      <alignment vertical="center"/>
    </xf>
    <xf numFmtId="0" fontId="84" fillId="0" borderId="0" xfId="0" applyFont="1">
      <alignment vertical="center"/>
    </xf>
    <xf numFmtId="0" fontId="84" fillId="38" borderId="0" xfId="0" applyFont="1" applyFill="1">
      <alignment vertical="center"/>
    </xf>
    <xf numFmtId="0" fontId="82" fillId="0" borderId="0" xfId="0" applyFont="1" applyAlignment="1">
      <alignment horizontal="center" vertical="center" wrapText="1"/>
    </xf>
    <xf numFmtId="189" fontId="0" fillId="0" borderId="0" xfId="0" applyNumberFormat="1">
      <alignment vertical="center"/>
    </xf>
    <xf numFmtId="0" fontId="83" fillId="0" borderId="0" xfId="0" applyFont="1" applyAlignment="1">
      <alignment horizontal="center" vertical="center" wrapText="1"/>
    </xf>
    <xf numFmtId="0" fontId="15" fillId="0" borderId="0" xfId="0" applyFont="1">
      <alignment vertical="center"/>
    </xf>
    <xf numFmtId="0" fontId="94" fillId="16" borderId="0" xfId="0" applyFont="1" applyFill="1">
      <alignment vertical="center"/>
    </xf>
    <xf numFmtId="0" fontId="94" fillId="33" borderId="0" xfId="0" applyFont="1" applyFill="1">
      <alignment vertical="center"/>
    </xf>
    <xf numFmtId="0" fontId="95" fillId="0" borderId="0" xfId="0" applyFont="1">
      <alignment vertical="center"/>
    </xf>
    <xf numFmtId="170" fontId="81" fillId="0" borderId="0" xfId="1" applyFont="1">
      <alignment vertical="center"/>
    </xf>
    <xf numFmtId="0" fontId="81" fillId="0" borderId="0" xfId="0" applyFont="1" applyAlignment="1">
      <alignment horizontal="left" vertical="center"/>
    </xf>
    <xf numFmtId="0" fontId="81" fillId="0" borderId="16" xfId="0" applyFont="1" applyBorder="1">
      <alignment vertical="center"/>
    </xf>
    <xf numFmtId="170" fontId="81" fillId="0" borderId="106" xfId="1" applyFont="1" applyBorder="1">
      <alignment vertical="center"/>
    </xf>
    <xf numFmtId="0" fontId="81" fillId="0" borderId="16" xfId="0" applyFont="1" applyBorder="1" applyAlignment="1">
      <alignment horizontal="left" vertical="center"/>
    </xf>
    <xf numFmtId="170" fontId="81" fillId="0" borderId="16" xfId="1" applyFont="1" applyBorder="1">
      <alignment vertical="center"/>
    </xf>
    <xf numFmtId="0" fontId="81" fillId="0" borderId="16" xfId="0" applyFont="1" applyBorder="1" applyAlignment="1">
      <alignment horizontal="center" vertical="center"/>
    </xf>
    <xf numFmtId="0" fontId="81" fillId="0" borderId="106" xfId="0" applyFont="1" applyBorder="1" applyAlignment="1">
      <alignment horizontal="center" vertical="center"/>
    </xf>
    <xf numFmtId="0" fontId="96" fillId="0" borderId="16" xfId="0" applyFont="1" applyBorder="1" applyAlignment="1">
      <alignment horizontal="left" vertical="center"/>
    </xf>
    <xf numFmtId="170" fontId="97" fillId="0" borderId="45" xfId="1" applyFont="1" applyBorder="1">
      <alignment vertical="center"/>
    </xf>
    <xf numFmtId="0" fontId="98" fillId="0" borderId="17" xfId="0" applyFont="1" applyBorder="1" applyAlignment="1">
      <alignment horizontal="left" vertical="center"/>
    </xf>
    <xf numFmtId="170" fontId="98" fillId="0" borderId="17" xfId="1" applyFont="1" applyBorder="1">
      <alignment vertical="center"/>
    </xf>
    <xf numFmtId="170" fontId="81" fillId="0" borderId="4" xfId="1" applyFont="1" applyBorder="1">
      <alignment vertical="center"/>
    </xf>
    <xf numFmtId="170" fontId="81" fillId="0" borderId="46" xfId="1" applyFont="1" applyBorder="1">
      <alignment vertical="center"/>
    </xf>
    <xf numFmtId="170" fontId="30" fillId="0" borderId="46" xfId="1" applyBorder="1">
      <alignment vertical="center"/>
    </xf>
    <xf numFmtId="0" fontId="99" fillId="18" borderId="0" xfId="0" applyFont="1" applyFill="1">
      <alignment vertical="center"/>
    </xf>
    <xf numFmtId="0" fontId="99" fillId="0" borderId="0" xfId="0" applyFont="1">
      <alignment vertical="center"/>
    </xf>
    <xf numFmtId="170" fontId="81" fillId="0" borderId="0" xfId="1" applyFont="1" applyBorder="1">
      <alignment vertical="center"/>
    </xf>
    <xf numFmtId="9" fontId="0" fillId="0" borderId="0" xfId="12" applyFont="1" applyAlignment="1">
      <alignment vertical="center"/>
    </xf>
    <xf numFmtId="167" fontId="82" fillId="0" borderId="0" xfId="16" applyFont="1" applyAlignment="1">
      <alignment vertical="center"/>
    </xf>
    <xf numFmtId="0" fontId="5" fillId="32" borderId="101" xfId="10" applyFill="1" applyBorder="1"/>
    <xf numFmtId="0" fontId="0" fillId="0" borderId="100" xfId="0" applyBorder="1" applyAlignment="1"/>
    <xf numFmtId="170" fontId="0" fillId="0" borderId="0" xfId="1" applyFont="1">
      <alignment vertical="center"/>
    </xf>
    <xf numFmtId="0" fontId="3" fillId="0" borderId="0" xfId="10" applyFont="1"/>
    <xf numFmtId="185" fontId="0" fillId="0" borderId="0" xfId="0" applyNumberFormat="1">
      <alignment vertical="center"/>
    </xf>
    <xf numFmtId="170" fontId="30" fillId="39" borderId="0" xfId="1" applyFill="1">
      <alignment vertical="center"/>
    </xf>
    <xf numFmtId="0" fontId="100" fillId="15" borderId="0" xfId="10" applyFont="1" applyFill="1"/>
    <xf numFmtId="0" fontId="5" fillId="0" borderId="103" xfId="10" applyBorder="1"/>
    <xf numFmtId="0" fontId="3" fillId="19" borderId="0" xfId="10" applyFont="1" applyFill="1"/>
    <xf numFmtId="0" fontId="82" fillId="39" borderId="4" xfId="0" applyFont="1" applyFill="1" applyBorder="1">
      <alignment vertical="center"/>
    </xf>
    <xf numFmtId="0" fontId="82" fillId="39" borderId="9" xfId="0" applyFont="1" applyFill="1" applyBorder="1">
      <alignment vertical="center"/>
    </xf>
    <xf numFmtId="170" fontId="72" fillId="39" borderId="9" xfId="1" applyFont="1" applyFill="1" applyBorder="1">
      <alignment vertical="center"/>
    </xf>
    <xf numFmtId="170" fontId="72" fillId="39" borderId="46" xfId="1" applyFont="1" applyFill="1" applyBorder="1">
      <alignment vertical="center"/>
    </xf>
    <xf numFmtId="0" fontId="94" fillId="0" borderId="0" xfId="0" applyFont="1">
      <alignment vertical="center"/>
    </xf>
    <xf numFmtId="0" fontId="82" fillId="0" borderId="21" xfId="0" applyFont="1" applyBorder="1">
      <alignment vertical="center"/>
    </xf>
    <xf numFmtId="0" fontId="82" fillId="0" borderId="44" xfId="0" applyFont="1" applyBorder="1">
      <alignment vertical="center"/>
    </xf>
    <xf numFmtId="0" fontId="82" fillId="0" borderId="47" xfId="0" applyFont="1" applyBorder="1">
      <alignment vertical="center"/>
    </xf>
    <xf numFmtId="0" fontId="31" fillId="0" borderId="16" xfId="0" applyFont="1" applyBorder="1">
      <alignment vertical="center"/>
    </xf>
    <xf numFmtId="0" fontId="31" fillId="0" borderId="106" xfId="0" applyFont="1" applyBorder="1">
      <alignment vertical="center"/>
    </xf>
    <xf numFmtId="0" fontId="82" fillId="0" borderId="16" xfId="0" applyFont="1" applyBorder="1">
      <alignment vertical="center"/>
    </xf>
    <xf numFmtId="0" fontId="82" fillId="0" borderId="106" xfId="0" applyFont="1" applyBorder="1">
      <alignment vertical="center"/>
    </xf>
    <xf numFmtId="0" fontId="82" fillId="0" borderId="17" xfId="0" applyFont="1" applyBorder="1">
      <alignment vertical="center"/>
    </xf>
    <xf numFmtId="0" fontId="82" fillId="0" borderId="31" xfId="0" applyFont="1" applyBorder="1">
      <alignment vertical="center"/>
    </xf>
    <xf numFmtId="0" fontId="82" fillId="0" borderId="45" xfId="0" applyFont="1" applyBorder="1">
      <alignment vertical="center"/>
    </xf>
    <xf numFmtId="0" fontId="3" fillId="0" borderId="102" xfId="10" applyFont="1" applyBorder="1"/>
    <xf numFmtId="170" fontId="15" fillId="39" borderId="0" xfId="1" applyFont="1" applyFill="1">
      <alignment vertical="center"/>
    </xf>
    <xf numFmtId="3" fontId="10" fillId="0" borderId="50" xfId="1" applyNumberFormat="1" applyFont="1" applyBorder="1" applyAlignment="1" applyProtection="1">
      <alignment horizontal="right" vertical="center" wrapText="1" indent="1"/>
      <protection locked="0"/>
    </xf>
    <xf numFmtId="3" fontId="10" fillId="2" borderId="54" xfId="0" applyNumberFormat="1" applyFont="1" applyFill="1" applyBorder="1" applyProtection="1">
      <alignment vertical="center"/>
      <protection locked="0"/>
    </xf>
    <xf numFmtId="3" fontId="10" fillId="2" borderId="49" xfId="0" applyNumberFormat="1" applyFont="1" applyFill="1" applyBorder="1" applyProtection="1">
      <alignment vertical="center"/>
      <protection locked="0"/>
    </xf>
    <xf numFmtId="3" fontId="10" fillId="2" borderId="55" xfId="0" applyNumberFormat="1" applyFont="1" applyFill="1" applyBorder="1" applyProtection="1">
      <alignment vertical="center"/>
      <protection locked="0"/>
    </xf>
    <xf numFmtId="3" fontId="10" fillId="7" borderId="69" xfId="0" applyNumberFormat="1" applyFont="1" applyFill="1" applyBorder="1" applyProtection="1">
      <alignment vertical="center"/>
      <protection locked="0"/>
    </xf>
    <xf numFmtId="3" fontId="10" fillId="7" borderId="49" xfId="0" applyNumberFormat="1" applyFont="1" applyFill="1" applyBorder="1" applyProtection="1">
      <alignment vertical="center"/>
      <protection locked="0"/>
    </xf>
    <xf numFmtId="3" fontId="10" fillId="7" borderId="62" xfId="0" applyNumberFormat="1" applyFont="1" applyFill="1" applyBorder="1" applyProtection="1">
      <alignment vertical="center"/>
      <protection locked="0"/>
    </xf>
    <xf numFmtId="3" fontId="10" fillId="5" borderId="54" xfId="0" applyNumberFormat="1" applyFont="1" applyFill="1" applyBorder="1" applyProtection="1">
      <alignment vertical="center"/>
      <protection locked="0"/>
    </xf>
    <xf numFmtId="3" fontId="10" fillId="5" borderId="49" xfId="0" applyNumberFormat="1" applyFont="1" applyFill="1" applyBorder="1" applyProtection="1">
      <alignment vertical="center"/>
      <protection locked="0"/>
    </xf>
    <xf numFmtId="3" fontId="10" fillId="5" borderId="55" xfId="0" applyNumberFormat="1" applyFont="1" applyFill="1" applyBorder="1" applyProtection="1">
      <alignment vertical="center"/>
      <protection locked="0"/>
    </xf>
    <xf numFmtId="3" fontId="10" fillId="2" borderId="69" xfId="0" applyNumberFormat="1" applyFont="1" applyFill="1" applyBorder="1" applyProtection="1">
      <alignment vertical="center"/>
      <protection locked="0"/>
    </xf>
    <xf numFmtId="3" fontId="10" fillId="2" borderId="62" xfId="0" applyNumberFormat="1" applyFont="1" applyFill="1" applyBorder="1" applyProtection="1">
      <alignment vertical="center"/>
      <protection locked="0"/>
    </xf>
    <xf numFmtId="3" fontId="10" fillId="9" borderId="54" xfId="0" applyNumberFormat="1" applyFont="1" applyFill="1" applyBorder="1" applyProtection="1">
      <alignment vertical="center"/>
      <protection locked="0"/>
    </xf>
    <xf numFmtId="3" fontId="10" fillId="9" borderId="49" xfId="0" applyNumberFormat="1" applyFont="1" applyFill="1" applyBorder="1" applyProtection="1">
      <alignment vertical="center"/>
      <protection locked="0"/>
    </xf>
    <xf numFmtId="3" fontId="10" fillId="9" borderId="55" xfId="0" applyNumberFormat="1" applyFont="1" applyFill="1" applyBorder="1" applyProtection="1">
      <alignment vertical="center"/>
      <protection locked="0"/>
    </xf>
    <xf numFmtId="0" fontId="10" fillId="0" borderId="51" xfId="0" applyFont="1" applyBorder="1">
      <alignment vertical="center"/>
    </xf>
    <xf numFmtId="3" fontId="10" fillId="2" borderId="56" xfId="0" applyNumberFormat="1" applyFont="1" applyFill="1" applyBorder="1" applyProtection="1">
      <alignment vertical="center"/>
      <protection locked="0"/>
    </xf>
    <xf numFmtId="3" fontId="10" fillId="2" borderId="50" xfId="0" applyNumberFormat="1" applyFont="1" applyFill="1" applyBorder="1" applyProtection="1">
      <alignment vertical="center"/>
      <protection locked="0"/>
    </xf>
    <xf numFmtId="3" fontId="10" fillId="2" borderId="57" xfId="0" applyNumberFormat="1" applyFont="1" applyFill="1" applyBorder="1" applyProtection="1">
      <alignment vertical="center"/>
      <protection locked="0"/>
    </xf>
    <xf numFmtId="3" fontId="10" fillId="7" borderId="70" xfId="0" applyNumberFormat="1" applyFont="1" applyFill="1" applyBorder="1" applyProtection="1">
      <alignment vertical="center"/>
      <protection locked="0"/>
    </xf>
    <xf numFmtId="3" fontId="10" fillId="7" borderId="50" xfId="0" applyNumberFormat="1" applyFont="1" applyFill="1" applyBorder="1" applyProtection="1">
      <alignment vertical="center"/>
      <protection locked="0"/>
    </xf>
    <xf numFmtId="3" fontId="10" fillId="7" borderId="51" xfId="0" applyNumberFormat="1" applyFont="1" applyFill="1" applyBorder="1" applyProtection="1">
      <alignment vertical="center"/>
      <protection locked="0"/>
    </xf>
    <xf numFmtId="3" fontId="10" fillId="5" borderId="56" xfId="0" applyNumberFormat="1" applyFont="1" applyFill="1" applyBorder="1" applyProtection="1">
      <alignment vertical="center"/>
      <protection locked="0"/>
    </xf>
    <xf numFmtId="3" fontId="10" fillId="5" borderId="50" xfId="0" applyNumberFormat="1" applyFont="1" applyFill="1" applyBorder="1" applyProtection="1">
      <alignment vertical="center"/>
      <protection locked="0"/>
    </xf>
    <xf numFmtId="3" fontId="10" fillId="5" borderId="57" xfId="0" applyNumberFormat="1" applyFont="1" applyFill="1" applyBorder="1" applyProtection="1">
      <alignment vertical="center"/>
      <protection locked="0"/>
    </xf>
    <xf numFmtId="3" fontId="10" fillId="2" borderId="70" xfId="0" applyNumberFormat="1" applyFont="1" applyFill="1" applyBorder="1" applyProtection="1">
      <alignment vertical="center"/>
      <protection locked="0"/>
    </xf>
    <xf numFmtId="3" fontId="10" fillId="2" borderId="51" xfId="0" applyNumberFormat="1" applyFont="1" applyFill="1" applyBorder="1" applyProtection="1">
      <alignment vertical="center"/>
      <protection locked="0"/>
    </xf>
    <xf numFmtId="3" fontId="10" fillId="9" borderId="56" xfId="0" applyNumberFormat="1" applyFont="1" applyFill="1" applyBorder="1" applyProtection="1">
      <alignment vertical="center"/>
      <protection locked="0"/>
    </xf>
    <xf numFmtId="3" fontId="10" fillId="9" borderId="50" xfId="0" applyNumberFormat="1" applyFont="1" applyFill="1" applyBorder="1" applyProtection="1">
      <alignment vertical="center"/>
      <protection locked="0"/>
    </xf>
    <xf numFmtId="3" fontId="10" fillId="9" borderId="57" xfId="0" applyNumberFormat="1" applyFont="1" applyFill="1" applyBorder="1" applyProtection="1">
      <alignment vertical="center"/>
      <protection locked="0"/>
    </xf>
    <xf numFmtId="0" fontId="13" fillId="0" borderId="51" xfId="0" applyFont="1" applyBorder="1">
      <alignment vertical="center"/>
    </xf>
    <xf numFmtId="3" fontId="13" fillId="2" borderId="50" xfId="0" applyNumberFormat="1" applyFont="1" applyFill="1" applyBorder="1" applyProtection="1">
      <alignment vertical="center"/>
      <protection locked="0"/>
    </xf>
    <xf numFmtId="3" fontId="13" fillId="7" borderId="70" xfId="0" applyNumberFormat="1" applyFont="1" applyFill="1" applyBorder="1" applyProtection="1">
      <alignment vertical="center"/>
      <protection locked="0"/>
    </xf>
    <xf numFmtId="3" fontId="13" fillId="7" borderId="50" xfId="0" applyNumberFormat="1" applyFont="1" applyFill="1" applyBorder="1" applyProtection="1">
      <alignment vertical="center"/>
      <protection locked="0"/>
    </xf>
    <xf numFmtId="3" fontId="13" fillId="7" borderId="51" xfId="0" applyNumberFormat="1" applyFont="1" applyFill="1" applyBorder="1" applyProtection="1">
      <alignment vertical="center"/>
      <protection locked="0"/>
    </xf>
    <xf numFmtId="3" fontId="13" fillId="5" borderId="50" xfId="0" applyNumberFormat="1" applyFont="1" applyFill="1" applyBorder="1" applyProtection="1">
      <alignment vertical="center"/>
      <protection locked="0"/>
    </xf>
    <xf numFmtId="3" fontId="13" fillId="5" borderId="57" xfId="0" applyNumberFormat="1" applyFont="1" applyFill="1" applyBorder="1" applyProtection="1">
      <alignment vertical="center"/>
      <protection locked="0"/>
    </xf>
    <xf numFmtId="3" fontId="13" fillId="2" borderId="51" xfId="0" applyNumberFormat="1" applyFont="1" applyFill="1" applyBorder="1" applyProtection="1">
      <alignment vertical="center"/>
      <protection locked="0"/>
    </xf>
    <xf numFmtId="3" fontId="13" fillId="9" borderId="50" xfId="0" applyNumberFormat="1" applyFont="1" applyFill="1" applyBorder="1" applyProtection="1">
      <alignment vertical="center"/>
      <protection locked="0"/>
    </xf>
    <xf numFmtId="3" fontId="13" fillId="9" borderId="57" xfId="0" applyNumberFormat="1" applyFont="1" applyFill="1" applyBorder="1" applyProtection="1">
      <alignment vertical="center"/>
      <protection locked="0"/>
    </xf>
    <xf numFmtId="3" fontId="10" fillId="2" borderId="60" xfId="0" applyNumberFormat="1" applyFont="1" applyFill="1" applyBorder="1" applyProtection="1">
      <alignment vertical="center"/>
      <protection locked="0"/>
    </xf>
    <xf numFmtId="3" fontId="10" fillId="2" borderId="48" xfId="0" applyNumberFormat="1" applyFont="1" applyFill="1" applyBorder="1" applyProtection="1">
      <alignment vertical="center"/>
      <protection locked="0"/>
    </xf>
    <xf numFmtId="3" fontId="10" fillId="2" borderId="61" xfId="0" applyNumberFormat="1" applyFont="1" applyFill="1" applyBorder="1" applyProtection="1">
      <alignment vertical="center"/>
      <protection locked="0"/>
    </xf>
    <xf numFmtId="3" fontId="10" fillId="7" borderId="71" xfId="0" applyNumberFormat="1" applyFont="1" applyFill="1" applyBorder="1" applyProtection="1">
      <alignment vertical="center"/>
      <protection locked="0"/>
    </xf>
    <xf numFmtId="3" fontId="10" fillId="7" borderId="48" xfId="0" applyNumberFormat="1" applyFont="1" applyFill="1" applyBorder="1" applyProtection="1">
      <alignment vertical="center"/>
      <protection locked="0"/>
    </xf>
    <xf numFmtId="3" fontId="10" fillId="7" borderId="59" xfId="0" applyNumberFormat="1" applyFont="1" applyFill="1" applyBorder="1" applyProtection="1">
      <alignment vertical="center"/>
      <protection locked="0"/>
    </xf>
    <xf numFmtId="3" fontId="10" fillId="5" borderId="60" xfId="0" applyNumberFormat="1" applyFont="1" applyFill="1" applyBorder="1" applyProtection="1">
      <alignment vertical="center"/>
      <protection locked="0"/>
    </xf>
    <xf numFmtId="3" fontId="10" fillId="5" borderId="48" xfId="0" applyNumberFormat="1" applyFont="1" applyFill="1" applyBorder="1" applyProtection="1">
      <alignment vertical="center"/>
      <protection locked="0"/>
    </xf>
    <xf numFmtId="3" fontId="10" fillId="5" borderId="61" xfId="0" applyNumberFormat="1" applyFont="1" applyFill="1" applyBorder="1" applyProtection="1">
      <alignment vertical="center"/>
      <protection locked="0"/>
    </xf>
    <xf numFmtId="3" fontId="10" fillId="2" borderId="71" xfId="0" applyNumberFormat="1" applyFont="1" applyFill="1" applyBorder="1" applyProtection="1">
      <alignment vertical="center"/>
      <protection locked="0"/>
    </xf>
    <xf numFmtId="3" fontId="10" fillId="2" borderId="59" xfId="0" applyNumberFormat="1" applyFont="1" applyFill="1" applyBorder="1" applyProtection="1">
      <alignment vertical="center"/>
      <protection locked="0"/>
    </xf>
    <xf numFmtId="3" fontId="10" fillId="9" borderId="60" xfId="0" applyNumberFormat="1" applyFont="1" applyFill="1" applyBorder="1" applyProtection="1">
      <alignment vertical="center"/>
      <protection locked="0"/>
    </xf>
    <xf numFmtId="3" fontId="10" fillId="9" borderId="48" xfId="0" applyNumberFormat="1" applyFont="1" applyFill="1" applyBorder="1" applyProtection="1">
      <alignment vertical="center"/>
      <protection locked="0"/>
    </xf>
    <xf numFmtId="3" fontId="10" fillId="9" borderId="61" xfId="0" applyNumberFormat="1" applyFont="1" applyFill="1" applyBorder="1" applyProtection="1">
      <alignment vertical="center"/>
      <protection locked="0"/>
    </xf>
    <xf numFmtId="0" fontId="10" fillId="0" borderId="54" xfId="0" applyFont="1" applyBorder="1">
      <alignment vertical="center"/>
    </xf>
    <xf numFmtId="0" fontId="10" fillId="0" borderId="62" xfId="0" applyFont="1" applyBorder="1">
      <alignment vertical="center"/>
    </xf>
    <xf numFmtId="0" fontId="10" fillId="0" borderId="56" xfId="0" applyFont="1" applyBorder="1">
      <alignment vertical="center"/>
    </xf>
    <xf numFmtId="3" fontId="13" fillId="2" borderId="48" xfId="0" applyNumberFormat="1" applyFont="1" applyFill="1" applyBorder="1" applyProtection="1">
      <alignment vertical="center"/>
      <protection locked="0"/>
    </xf>
    <xf numFmtId="3" fontId="13" fillId="7" borderId="71" xfId="0" applyNumberFormat="1" applyFont="1" applyFill="1" applyBorder="1" applyProtection="1">
      <alignment vertical="center"/>
      <protection locked="0"/>
    </xf>
    <xf numFmtId="3" fontId="13" fillId="7" borderId="48" xfId="0" applyNumberFormat="1" applyFont="1" applyFill="1" applyBorder="1" applyProtection="1">
      <alignment vertical="center"/>
      <protection locked="0"/>
    </xf>
    <xf numFmtId="3" fontId="13" fillId="7" borderId="59" xfId="0" applyNumberFormat="1" applyFont="1" applyFill="1" applyBorder="1" applyProtection="1">
      <alignment vertical="center"/>
      <protection locked="0"/>
    </xf>
    <xf numFmtId="3" fontId="13" fillId="5" borderId="48" xfId="0" applyNumberFormat="1" applyFont="1" applyFill="1" applyBorder="1" applyProtection="1">
      <alignment vertical="center"/>
      <protection locked="0"/>
    </xf>
    <xf numFmtId="3" fontId="13" fillId="5" borderId="61" xfId="0" applyNumberFormat="1" applyFont="1" applyFill="1" applyBorder="1" applyProtection="1">
      <alignment vertical="center"/>
      <protection locked="0"/>
    </xf>
    <xf numFmtId="3" fontId="13" fillId="2" borderId="59" xfId="0" applyNumberFormat="1" applyFont="1" applyFill="1" applyBorder="1" applyProtection="1">
      <alignment vertical="center"/>
      <protection locked="0"/>
    </xf>
    <xf numFmtId="3" fontId="13" fillId="9" borderId="48" xfId="0" applyNumberFormat="1" applyFont="1" applyFill="1" applyBorder="1" applyProtection="1">
      <alignment vertical="center"/>
      <protection locked="0"/>
    </xf>
    <xf numFmtId="3" fontId="13" fillId="9" borderId="61" xfId="0" applyNumberFormat="1" applyFont="1" applyFill="1" applyBorder="1" applyProtection="1">
      <alignment vertical="center"/>
      <protection locked="0"/>
    </xf>
    <xf numFmtId="0" fontId="10" fillId="0" borderId="58" xfId="0" applyFont="1" applyBorder="1">
      <alignment vertical="center"/>
    </xf>
    <xf numFmtId="3" fontId="10" fillId="2" borderId="67" xfId="0" applyNumberFormat="1" applyFont="1" applyFill="1" applyBorder="1" applyProtection="1">
      <alignment vertical="center"/>
      <protection locked="0"/>
    </xf>
    <xf numFmtId="3" fontId="10" fillId="2" borderId="66" xfId="0" applyNumberFormat="1" applyFont="1" applyFill="1" applyBorder="1" applyProtection="1">
      <alignment vertical="center"/>
      <protection locked="0"/>
    </xf>
    <xf numFmtId="3" fontId="10" fillId="7" borderId="67" xfId="0" applyNumberFormat="1" applyFont="1" applyFill="1" applyBorder="1" applyProtection="1">
      <alignment vertical="center"/>
      <protection locked="0"/>
    </xf>
    <xf numFmtId="3" fontId="10" fillId="7" borderId="58" xfId="0" applyNumberFormat="1" applyFont="1" applyFill="1" applyBorder="1" applyProtection="1">
      <alignment vertical="center"/>
      <protection locked="0"/>
    </xf>
    <xf numFmtId="3" fontId="10" fillId="5" borderId="67" xfId="0" applyNumberFormat="1" applyFont="1" applyFill="1" applyBorder="1" applyProtection="1">
      <alignment vertical="center"/>
      <protection locked="0"/>
    </xf>
    <xf numFmtId="3" fontId="10" fillId="5" borderId="66" xfId="0" applyNumberFormat="1" applyFont="1" applyFill="1" applyBorder="1" applyProtection="1">
      <alignment vertical="center"/>
      <protection locked="0"/>
    </xf>
    <xf numFmtId="3" fontId="10" fillId="2" borderId="58" xfId="0" applyNumberFormat="1" applyFont="1" applyFill="1" applyBorder="1" applyProtection="1">
      <alignment vertical="center"/>
      <protection locked="0"/>
    </xf>
    <xf numFmtId="3" fontId="10" fillId="9" borderId="67" xfId="0" applyNumberFormat="1" applyFont="1" applyFill="1" applyBorder="1" applyProtection="1">
      <alignment vertical="center"/>
      <protection locked="0"/>
    </xf>
    <xf numFmtId="3" fontId="10" fillId="9" borderId="66" xfId="0" applyNumberFormat="1" applyFont="1" applyFill="1" applyBorder="1" applyProtection="1">
      <alignment vertical="center"/>
      <protection locked="0"/>
    </xf>
    <xf numFmtId="0" fontId="10" fillId="0" borderId="60" xfId="0" applyFont="1" applyBorder="1">
      <alignment vertical="center"/>
    </xf>
    <xf numFmtId="0" fontId="10" fillId="0" borderId="59" xfId="0" applyFont="1" applyBorder="1">
      <alignment vertical="center"/>
    </xf>
    <xf numFmtId="177" fontId="14" fillId="0" borderId="0" xfId="0" applyNumberFormat="1" applyFont="1" applyAlignment="1"/>
    <xf numFmtId="0" fontId="14" fillId="0" borderId="0" xfId="0" applyFont="1" applyAlignment="1"/>
    <xf numFmtId="177" fontId="29" fillId="0" borderId="0" xfId="0" applyNumberFormat="1" applyFont="1" applyAlignment="1"/>
    <xf numFmtId="37" fontId="10" fillId="3" borderId="70" xfId="0" applyNumberFormat="1" applyFont="1" applyFill="1" applyBorder="1" applyAlignment="1">
      <alignment horizontal="left" vertical="center" textRotation="75"/>
    </xf>
    <xf numFmtId="37" fontId="10" fillId="3" borderId="50" xfId="0" applyNumberFormat="1" applyFont="1" applyFill="1" applyBorder="1" applyAlignment="1">
      <alignment horizontal="left" vertical="center" textRotation="75"/>
    </xf>
    <xf numFmtId="37" fontId="10" fillId="3" borderId="50" xfId="0" applyNumberFormat="1" applyFont="1" applyFill="1" applyBorder="1" applyAlignment="1">
      <alignment vertical="center" textRotation="75"/>
    </xf>
    <xf numFmtId="37" fontId="10" fillId="4" borderId="50" xfId="0" applyNumberFormat="1" applyFont="1" applyFill="1" applyBorder="1" applyAlignment="1">
      <alignment vertical="center" textRotation="75"/>
    </xf>
    <xf numFmtId="37" fontId="10" fillId="5" borderId="50" xfId="0" applyNumberFormat="1" applyFont="1" applyFill="1" applyBorder="1" applyAlignment="1">
      <alignment vertical="center" textRotation="75"/>
    </xf>
    <xf numFmtId="37" fontId="10" fillId="6" borderId="50" xfId="0" applyNumberFormat="1" applyFont="1" applyFill="1" applyBorder="1" applyAlignment="1">
      <alignment vertical="center" textRotation="75"/>
    </xf>
    <xf numFmtId="3" fontId="10" fillId="7" borderId="54" xfId="0" applyNumberFormat="1" applyFont="1" applyFill="1" applyBorder="1" applyProtection="1">
      <alignment vertical="center"/>
      <protection locked="0"/>
    </xf>
    <xf numFmtId="3" fontId="10" fillId="7" borderId="56" xfId="0" applyNumberFormat="1" applyFont="1" applyFill="1" applyBorder="1" applyProtection="1">
      <alignment vertical="center"/>
      <protection locked="0"/>
    </xf>
    <xf numFmtId="3" fontId="10" fillId="8" borderId="56" xfId="0" applyNumberFormat="1" applyFont="1" applyFill="1" applyBorder="1" applyProtection="1">
      <alignment vertical="center"/>
      <protection locked="0"/>
    </xf>
    <xf numFmtId="3" fontId="10" fillId="8" borderId="50" xfId="0" applyNumberFormat="1" applyFont="1" applyFill="1" applyBorder="1" applyProtection="1">
      <alignment vertical="center"/>
      <protection locked="0"/>
    </xf>
    <xf numFmtId="3" fontId="10" fillId="8" borderId="57" xfId="0" applyNumberFormat="1" applyFont="1" applyFill="1" applyBorder="1" applyProtection="1">
      <alignment vertical="center"/>
      <protection locked="0"/>
    </xf>
    <xf numFmtId="0" fontId="10" fillId="0" borderId="52" xfId="0" applyFont="1" applyBorder="1">
      <alignment vertical="center"/>
    </xf>
    <xf numFmtId="0" fontId="10" fillId="0" borderId="53" xfId="0" applyFont="1" applyBorder="1">
      <alignment vertical="center"/>
    </xf>
    <xf numFmtId="3" fontId="10" fillId="7" borderId="60" xfId="0" applyNumberFormat="1" applyFont="1" applyFill="1" applyBorder="1" applyProtection="1">
      <alignment vertical="center"/>
      <protection locked="0"/>
    </xf>
    <xf numFmtId="3" fontId="10" fillId="8" borderId="63" xfId="0" applyNumberFormat="1" applyFont="1" applyFill="1" applyBorder="1" applyProtection="1">
      <alignment vertical="center"/>
      <protection locked="0"/>
    </xf>
    <xf numFmtId="3" fontId="10" fillId="8" borderId="64" xfId="0" applyNumberFormat="1" applyFont="1" applyFill="1" applyBorder="1" applyProtection="1">
      <alignment vertical="center"/>
      <protection locked="0"/>
    </xf>
    <xf numFmtId="3" fontId="10" fillId="8" borderId="65" xfId="0" applyNumberFormat="1" applyFont="1" applyFill="1" applyBorder="1" applyProtection="1">
      <alignment vertical="center"/>
      <protection locked="0"/>
    </xf>
    <xf numFmtId="3" fontId="10" fillId="2" borderId="63" xfId="0" applyNumberFormat="1" applyFont="1" applyFill="1" applyBorder="1" applyProtection="1">
      <alignment vertical="center"/>
      <protection locked="0"/>
    </xf>
    <xf numFmtId="3" fontId="10" fillId="2" borderId="65" xfId="0" applyNumberFormat="1" applyFont="1" applyFill="1" applyBorder="1" applyProtection="1">
      <alignment vertical="center"/>
      <protection locked="0"/>
    </xf>
    <xf numFmtId="3" fontId="10" fillId="9" borderId="63" xfId="0" applyNumberFormat="1" applyFont="1" applyFill="1" applyBorder="1" applyProtection="1">
      <alignment vertical="center"/>
      <protection locked="0"/>
    </xf>
    <xf numFmtId="3" fontId="10" fillId="9" borderId="64" xfId="0" applyNumberFormat="1" applyFont="1" applyFill="1" applyBorder="1" applyProtection="1">
      <alignment vertical="center"/>
      <protection locked="0"/>
    </xf>
    <xf numFmtId="3" fontId="10" fillId="9" borderId="65" xfId="0" applyNumberFormat="1" applyFont="1" applyFill="1" applyBorder="1" applyProtection="1">
      <alignment vertical="center"/>
      <protection locked="0"/>
    </xf>
    <xf numFmtId="3" fontId="11" fillId="8" borderId="58" xfId="0" applyNumberFormat="1" applyFont="1" applyFill="1" applyBorder="1">
      <alignment vertical="center"/>
    </xf>
    <xf numFmtId="3" fontId="11" fillId="8" borderId="66" xfId="0" applyNumberFormat="1" applyFont="1" applyFill="1" applyBorder="1">
      <alignment vertical="center"/>
    </xf>
    <xf numFmtId="3" fontId="11" fillId="2" borderId="58" xfId="0" applyNumberFormat="1" applyFont="1" applyFill="1" applyBorder="1">
      <alignment vertical="center"/>
    </xf>
    <xf numFmtId="3" fontId="11" fillId="9" borderId="58" xfId="0" applyNumberFormat="1" applyFont="1" applyFill="1" applyBorder="1">
      <alignment vertical="center"/>
    </xf>
    <xf numFmtId="3" fontId="11" fillId="9" borderId="66" xfId="0" applyNumberFormat="1" applyFont="1" applyFill="1" applyBorder="1">
      <alignment vertical="center"/>
    </xf>
    <xf numFmtId="3" fontId="10" fillId="7" borderId="66" xfId="0" applyNumberFormat="1" applyFont="1" applyFill="1" applyBorder="1" applyProtection="1">
      <alignment vertical="center"/>
      <protection locked="0"/>
    </xf>
    <xf numFmtId="3" fontId="10" fillId="8" borderId="58" xfId="0" applyNumberFormat="1" applyFont="1" applyFill="1" applyBorder="1" applyProtection="1">
      <alignment vertical="center"/>
      <protection locked="0"/>
    </xf>
    <xf numFmtId="3" fontId="10" fillId="9" borderId="58" xfId="0" applyNumberFormat="1" applyFont="1" applyFill="1" applyBorder="1" applyProtection="1">
      <alignment vertical="center"/>
      <protection locked="0"/>
    </xf>
    <xf numFmtId="0" fontId="10" fillId="0" borderId="48" xfId="0" applyFont="1" applyBorder="1">
      <alignment vertical="center"/>
    </xf>
    <xf numFmtId="3" fontId="10" fillId="2" borderId="53" xfId="0" applyNumberFormat="1" applyFont="1" applyFill="1" applyBorder="1" applyProtection="1">
      <alignment vertical="center"/>
      <protection locked="0"/>
    </xf>
    <xf numFmtId="3" fontId="10" fillId="7" borderId="55" xfId="0" applyNumberFormat="1" applyFont="1" applyFill="1" applyBorder="1" applyProtection="1">
      <alignment vertical="center"/>
      <protection locked="0"/>
    </xf>
    <xf numFmtId="3" fontId="10" fillId="7" borderId="61" xfId="0" applyNumberFormat="1" applyFont="1" applyFill="1" applyBorder="1" applyProtection="1">
      <alignment vertical="center"/>
      <protection locked="0"/>
    </xf>
    <xf numFmtId="3" fontId="10" fillId="8" borderId="52" xfId="0" applyNumberFormat="1" applyFont="1" applyFill="1" applyBorder="1" applyProtection="1">
      <alignment vertical="center"/>
      <protection locked="0"/>
    </xf>
    <xf numFmtId="3" fontId="10" fillId="8" borderId="68" xfId="0" applyNumberFormat="1" applyFont="1" applyFill="1" applyBorder="1" applyProtection="1">
      <alignment vertical="center"/>
      <protection locked="0"/>
    </xf>
    <xf numFmtId="3" fontId="10" fillId="8" borderId="53" xfId="0" applyNumberFormat="1" applyFont="1" applyFill="1" applyBorder="1" applyProtection="1">
      <alignment vertical="center"/>
      <protection locked="0"/>
    </xf>
    <xf numFmtId="3" fontId="10" fillId="2" borderId="52" xfId="0" applyNumberFormat="1" applyFont="1" applyFill="1" applyBorder="1" applyProtection="1">
      <alignment vertical="center"/>
      <protection locked="0"/>
    </xf>
    <xf numFmtId="3" fontId="10" fillId="9" borderId="52" xfId="0" applyNumberFormat="1" applyFont="1" applyFill="1" applyBorder="1" applyProtection="1">
      <alignment vertical="center"/>
      <protection locked="0"/>
    </xf>
    <xf numFmtId="3" fontId="10" fillId="9" borderId="68" xfId="0" applyNumberFormat="1" applyFont="1" applyFill="1" applyBorder="1" applyProtection="1">
      <alignment vertical="center"/>
      <protection locked="0"/>
    </xf>
    <xf numFmtId="0" fontId="10" fillId="0" borderId="55" xfId="0" applyFont="1" applyBorder="1">
      <alignment vertical="center"/>
    </xf>
    <xf numFmtId="0" fontId="10" fillId="0" borderId="57" xfId="0" applyFont="1" applyBorder="1">
      <alignment vertical="center"/>
    </xf>
    <xf numFmtId="172" fontId="10" fillId="0" borderId="52" xfId="0" applyNumberFormat="1" applyFont="1" applyBorder="1">
      <alignment vertical="center"/>
    </xf>
    <xf numFmtId="0" fontId="10" fillId="0" borderId="61" xfId="0" applyFont="1" applyBorder="1">
      <alignment vertical="center"/>
    </xf>
    <xf numFmtId="0" fontId="3" fillId="32" borderId="0" xfId="10" applyFont="1" applyFill="1"/>
    <xf numFmtId="0" fontId="3" fillId="0" borderId="100" xfId="10" applyFont="1" applyBorder="1"/>
    <xf numFmtId="0" fontId="5" fillId="0" borderId="51" xfId="10" applyBorder="1"/>
    <xf numFmtId="0" fontId="3" fillId="0" borderId="107" xfId="10" applyFont="1" applyBorder="1"/>
    <xf numFmtId="16" fontId="3" fillId="0" borderId="0" xfId="10" applyNumberFormat="1" applyFont="1"/>
    <xf numFmtId="16" fontId="3" fillId="0" borderId="100" xfId="10" applyNumberFormat="1" applyFont="1" applyBorder="1"/>
    <xf numFmtId="0" fontId="3" fillId="0" borderId="4" xfId="10" applyFont="1" applyBorder="1"/>
    <xf numFmtId="178" fontId="23" fillId="19" borderId="7" xfId="0" applyNumberFormat="1" applyFont="1" applyFill="1" applyBorder="1">
      <alignment vertical="center"/>
    </xf>
    <xf numFmtId="178" fontId="23" fillId="18" borderId="7" xfId="0" applyNumberFormat="1" applyFont="1" applyFill="1" applyBorder="1">
      <alignment vertical="center"/>
    </xf>
    <xf numFmtId="178" fontId="23" fillId="16" borderId="7" xfId="0" applyNumberFormat="1" applyFont="1" applyFill="1" applyBorder="1">
      <alignment vertical="center"/>
    </xf>
    <xf numFmtId="0" fontId="10" fillId="0" borderId="62" xfId="0" applyFont="1" applyBorder="1" applyProtection="1">
      <alignment vertical="center"/>
      <protection locked="0"/>
    </xf>
    <xf numFmtId="174" fontId="22" fillId="9" borderId="49" xfId="0" applyNumberFormat="1" applyFont="1" applyFill="1" applyBorder="1">
      <alignment vertical="center"/>
    </xf>
    <xf numFmtId="178" fontId="22" fillId="19" borderId="49" xfId="0" applyNumberFormat="1" applyFont="1" applyFill="1" applyBorder="1" applyProtection="1">
      <alignment vertical="center"/>
      <protection locked="0"/>
    </xf>
    <xf numFmtId="178" fontId="22" fillId="18" borderId="49" xfId="0" applyNumberFormat="1" applyFont="1" applyFill="1" applyBorder="1" applyProtection="1">
      <alignment vertical="center"/>
      <protection locked="0"/>
    </xf>
    <xf numFmtId="174" fontId="22" fillId="10" borderId="49" xfId="0" applyNumberFormat="1" applyFont="1" applyFill="1" applyBorder="1" applyProtection="1">
      <alignment vertical="center"/>
      <protection locked="0"/>
    </xf>
    <xf numFmtId="174" fontId="22" fillId="9" borderId="49" xfId="0" applyNumberFormat="1" applyFont="1" applyFill="1" applyBorder="1" applyProtection="1">
      <alignment vertical="center"/>
      <protection locked="0"/>
    </xf>
    <xf numFmtId="0" fontId="10" fillId="0" borderId="55" xfId="0" applyFont="1" applyBorder="1" applyProtection="1">
      <alignment vertical="center"/>
      <protection locked="0"/>
    </xf>
    <xf numFmtId="174" fontId="22" fillId="9" borderId="54" xfId="0" applyNumberFormat="1" applyFont="1" applyFill="1" applyBorder="1">
      <alignment vertical="center"/>
    </xf>
    <xf numFmtId="178" fontId="22" fillId="16" borderId="49" xfId="0" applyNumberFormat="1" applyFont="1" applyFill="1" applyBorder="1" applyProtection="1">
      <alignment vertical="center"/>
      <protection locked="0"/>
    </xf>
    <xf numFmtId="174" fontId="22" fillId="11" borderId="49" xfId="0" applyNumberFormat="1" applyFont="1" applyFill="1" applyBorder="1" applyProtection="1">
      <alignment vertical="center"/>
      <protection locked="0"/>
    </xf>
    <xf numFmtId="174" fontId="22" fillId="11" borderId="55" xfId="0" applyNumberFormat="1" applyFont="1" applyFill="1" applyBorder="1" applyProtection="1">
      <alignment vertical="center"/>
      <protection locked="0"/>
    </xf>
    <xf numFmtId="0" fontId="10" fillId="0" borderId="51" xfId="0" applyFont="1" applyBorder="1" applyProtection="1">
      <alignment vertical="center"/>
      <protection locked="0"/>
    </xf>
    <xf numFmtId="178" fontId="22" fillId="19" borderId="50" xfId="0" applyNumberFormat="1" applyFont="1" applyFill="1" applyBorder="1" applyProtection="1">
      <alignment vertical="center"/>
      <protection locked="0"/>
    </xf>
    <xf numFmtId="178" fontId="22" fillId="18" borderId="50" xfId="0" applyNumberFormat="1" applyFont="1" applyFill="1" applyBorder="1" applyProtection="1">
      <alignment vertical="center"/>
      <protection locked="0"/>
    </xf>
    <xf numFmtId="174" fontId="22" fillId="10" borderId="50" xfId="0" applyNumberFormat="1" applyFont="1" applyFill="1" applyBorder="1" applyProtection="1">
      <alignment vertical="center"/>
      <protection locked="0"/>
    </xf>
    <xf numFmtId="174" fontId="22" fillId="9" borderId="50" xfId="0" applyNumberFormat="1" applyFont="1" applyFill="1" applyBorder="1" applyProtection="1">
      <alignment vertical="center"/>
      <protection locked="0"/>
    </xf>
    <xf numFmtId="0" fontId="10" fillId="0" borderId="57" xfId="0" applyFont="1" applyBorder="1" applyProtection="1">
      <alignment vertical="center"/>
      <protection locked="0"/>
    </xf>
    <xf numFmtId="178" fontId="22" fillId="16" borderId="50" xfId="0" applyNumberFormat="1" applyFont="1" applyFill="1" applyBorder="1" applyProtection="1">
      <alignment vertical="center"/>
      <protection locked="0"/>
    </xf>
    <xf numFmtId="174" fontId="22" fillId="11" borderId="50" xfId="0" applyNumberFormat="1" applyFont="1" applyFill="1" applyBorder="1" applyProtection="1">
      <alignment vertical="center"/>
      <protection locked="0"/>
    </xf>
    <xf numFmtId="174" fontId="22" fillId="11" borderId="57" xfId="0" applyNumberFormat="1" applyFont="1" applyFill="1" applyBorder="1" applyProtection="1">
      <alignment vertical="center"/>
      <protection locked="0"/>
    </xf>
    <xf numFmtId="0" fontId="13" fillId="0" borderId="57" xfId="0" applyFont="1" applyBorder="1" applyProtection="1">
      <alignment vertical="center"/>
      <protection locked="0"/>
    </xf>
    <xf numFmtId="174" fontId="22" fillId="9" borderId="56" xfId="0" applyNumberFormat="1" applyFont="1" applyFill="1" applyBorder="1">
      <alignment vertical="center"/>
    </xf>
    <xf numFmtId="0" fontId="10" fillId="0" borderId="52" xfId="0" applyFont="1" applyBorder="1" applyProtection="1">
      <alignment vertical="center"/>
      <protection locked="0"/>
    </xf>
    <xf numFmtId="0" fontId="10" fillId="0" borderId="53" xfId="0" applyFont="1" applyBorder="1" applyProtection="1">
      <alignment vertical="center"/>
      <protection locked="0"/>
    </xf>
    <xf numFmtId="178" fontId="22" fillId="19" borderId="48" xfId="0" applyNumberFormat="1" applyFont="1" applyFill="1" applyBorder="1" applyProtection="1">
      <alignment vertical="center"/>
      <protection locked="0"/>
    </xf>
    <xf numFmtId="178" fontId="22" fillId="18" borderId="48" xfId="0" applyNumberFormat="1" applyFont="1" applyFill="1" applyBorder="1" applyProtection="1">
      <alignment vertical="center"/>
      <protection locked="0"/>
    </xf>
    <xf numFmtId="174" fontId="22" fillId="10" borderId="48" xfId="0" applyNumberFormat="1" applyFont="1" applyFill="1" applyBorder="1" applyProtection="1">
      <alignment vertical="center"/>
      <protection locked="0"/>
    </xf>
    <xf numFmtId="174" fontId="22" fillId="9" borderId="48" xfId="0" applyNumberFormat="1" applyFont="1" applyFill="1" applyBorder="1" applyProtection="1">
      <alignment vertical="center"/>
      <protection locked="0"/>
    </xf>
    <xf numFmtId="0" fontId="10" fillId="0" borderId="61" xfId="0" applyFont="1" applyBorder="1" applyProtection="1">
      <alignment vertical="center"/>
      <protection locked="0"/>
    </xf>
    <xf numFmtId="174" fontId="22" fillId="9" borderId="60" xfId="0" applyNumberFormat="1" applyFont="1" applyFill="1" applyBorder="1">
      <alignment vertical="center"/>
    </xf>
    <xf numFmtId="178" fontId="22" fillId="16" borderId="48" xfId="0" applyNumberFormat="1" applyFont="1" applyFill="1" applyBorder="1" applyProtection="1">
      <alignment vertical="center"/>
      <protection locked="0"/>
    </xf>
    <xf numFmtId="174" fontId="22" fillId="11" borderId="48" xfId="0" applyNumberFormat="1" applyFont="1" applyFill="1" applyBorder="1" applyProtection="1">
      <alignment vertical="center"/>
      <protection locked="0"/>
    </xf>
    <xf numFmtId="174" fontId="22" fillId="11" borderId="61" xfId="0" applyNumberFormat="1" applyFont="1" applyFill="1" applyBorder="1" applyProtection="1">
      <alignment vertical="center"/>
      <protection locked="0"/>
    </xf>
    <xf numFmtId="0" fontId="10" fillId="0" borderId="54" xfId="0" applyFont="1" applyBorder="1" applyProtection="1">
      <alignment vertical="center"/>
      <protection locked="0"/>
    </xf>
    <xf numFmtId="174" fontId="22" fillId="9" borderId="69" xfId="0" applyNumberFormat="1" applyFont="1" applyFill="1" applyBorder="1">
      <alignment vertical="center"/>
    </xf>
    <xf numFmtId="0" fontId="10" fillId="0" borderId="56" xfId="0" applyFont="1" applyBorder="1" applyProtection="1">
      <alignment vertical="center"/>
      <protection locked="0"/>
    </xf>
    <xf numFmtId="178" fontId="23" fillId="19" borderId="50" xfId="0" applyNumberFormat="1" applyFont="1" applyFill="1" applyBorder="1" applyProtection="1">
      <alignment vertical="center"/>
      <protection locked="0"/>
    </xf>
    <xf numFmtId="178" fontId="23" fillId="18" borderId="50" xfId="0" applyNumberFormat="1" applyFont="1" applyFill="1" applyBorder="1" applyProtection="1">
      <alignment vertical="center"/>
      <protection locked="0"/>
    </xf>
    <xf numFmtId="174" fontId="23" fillId="10" borderId="50" xfId="0" applyNumberFormat="1" applyFont="1" applyFill="1" applyBorder="1" applyProtection="1">
      <alignment vertical="center"/>
      <protection locked="0"/>
    </xf>
    <xf numFmtId="174" fontId="23" fillId="9" borderId="50" xfId="0" applyNumberFormat="1" applyFont="1" applyFill="1" applyBorder="1" applyProtection="1">
      <alignment vertical="center"/>
      <protection locked="0"/>
    </xf>
    <xf numFmtId="178" fontId="23" fillId="16" borderId="50" xfId="0" applyNumberFormat="1" applyFont="1" applyFill="1" applyBorder="1" applyProtection="1">
      <alignment vertical="center"/>
      <protection locked="0"/>
    </xf>
    <xf numFmtId="174" fontId="23" fillId="11" borderId="50" xfId="0" applyNumberFormat="1" applyFont="1" applyFill="1" applyBorder="1" applyProtection="1">
      <alignment vertical="center"/>
      <protection locked="0"/>
    </xf>
    <xf numFmtId="174" fontId="23" fillId="11" borderId="57" xfId="0" applyNumberFormat="1" applyFont="1" applyFill="1" applyBorder="1" applyProtection="1">
      <alignment vertical="center"/>
      <protection locked="0"/>
    </xf>
    <xf numFmtId="174" fontId="22" fillId="9" borderId="70" xfId="0" applyNumberFormat="1" applyFont="1" applyFill="1" applyBorder="1">
      <alignment vertical="center"/>
    </xf>
    <xf numFmtId="178" fontId="22" fillId="19" borderId="7" xfId="0" applyNumberFormat="1" applyFont="1" applyFill="1" applyBorder="1">
      <alignment vertical="center"/>
    </xf>
    <xf numFmtId="178" fontId="22" fillId="18" borderId="7" xfId="0" applyNumberFormat="1" applyFont="1" applyFill="1" applyBorder="1">
      <alignment vertical="center"/>
    </xf>
    <xf numFmtId="174" fontId="23" fillId="9" borderId="70" xfId="0" applyNumberFormat="1" applyFont="1" applyFill="1" applyBorder="1">
      <alignment vertical="center"/>
    </xf>
    <xf numFmtId="178" fontId="23" fillId="19" borderId="48" xfId="0" applyNumberFormat="1" applyFont="1" applyFill="1" applyBorder="1" applyProtection="1">
      <alignment vertical="center"/>
      <protection locked="0"/>
    </xf>
    <xf numFmtId="178" fontId="23" fillId="18" borderId="48" xfId="0" applyNumberFormat="1" applyFont="1" applyFill="1" applyBorder="1" applyProtection="1">
      <alignment vertical="center"/>
      <protection locked="0"/>
    </xf>
    <xf numFmtId="174" fontId="23" fillId="10" borderId="48" xfId="0" applyNumberFormat="1" applyFont="1" applyFill="1" applyBorder="1" applyProtection="1">
      <alignment vertical="center"/>
      <protection locked="0"/>
    </xf>
    <xf numFmtId="174" fontId="23" fillId="9" borderId="48" xfId="0" applyNumberFormat="1" applyFont="1" applyFill="1" applyBorder="1" applyProtection="1">
      <alignment vertical="center"/>
      <protection locked="0"/>
    </xf>
    <xf numFmtId="0" fontId="10" fillId="0" borderId="58" xfId="0" applyFont="1" applyBorder="1" applyProtection="1">
      <alignment vertical="center"/>
      <protection locked="0"/>
    </xf>
    <xf numFmtId="174" fontId="27" fillId="9" borderId="67" xfId="0" applyNumberFormat="1" applyFont="1" applyFill="1" applyBorder="1">
      <alignment vertical="center"/>
    </xf>
    <xf numFmtId="178" fontId="22" fillId="19" borderId="67" xfId="0" applyNumberFormat="1" applyFont="1" applyFill="1" applyBorder="1" applyProtection="1">
      <alignment vertical="center"/>
      <protection locked="0"/>
    </xf>
    <xf numFmtId="178" fontId="22" fillId="18" borderId="67" xfId="0" applyNumberFormat="1" applyFont="1" applyFill="1" applyBorder="1" applyProtection="1">
      <alignment vertical="center"/>
      <protection locked="0"/>
    </xf>
    <xf numFmtId="174" fontId="22" fillId="10" borderId="67" xfId="0" applyNumberFormat="1" applyFont="1" applyFill="1" applyBorder="1" applyProtection="1">
      <alignment vertical="center"/>
      <protection locked="0"/>
    </xf>
    <xf numFmtId="174" fontId="22" fillId="9" borderId="67" xfId="0" applyNumberFormat="1" applyFont="1" applyFill="1" applyBorder="1" applyProtection="1">
      <alignment vertical="center"/>
      <protection locked="0"/>
    </xf>
    <xf numFmtId="174" fontId="23" fillId="9" borderId="49" xfId="0" applyNumberFormat="1" applyFont="1" applyFill="1" applyBorder="1">
      <alignment vertical="center"/>
    </xf>
    <xf numFmtId="178" fontId="23" fillId="19" borderId="49" xfId="0" applyNumberFormat="1" applyFont="1" applyFill="1" applyBorder="1" applyProtection="1">
      <alignment vertical="center"/>
      <protection locked="0"/>
    </xf>
    <xf numFmtId="178" fontId="23" fillId="18" borderId="49" xfId="0" applyNumberFormat="1" applyFont="1" applyFill="1" applyBorder="1" applyProtection="1">
      <alignment vertical="center"/>
      <protection locked="0"/>
    </xf>
    <xf numFmtId="174" fontId="23" fillId="10" borderId="49" xfId="0" applyNumberFormat="1" applyFont="1" applyFill="1" applyBorder="1" applyProtection="1">
      <alignment vertical="center"/>
      <protection locked="0"/>
    </xf>
    <xf numFmtId="174" fontId="23" fillId="9" borderId="49" xfId="0" applyNumberFormat="1" applyFont="1" applyFill="1" applyBorder="1" applyProtection="1">
      <alignment vertical="center"/>
      <protection locked="0"/>
    </xf>
    <xf numFmtId="0" fontId="10" fillId="0" borderId="59" xfId="0" applyFont="1" applyBorder="1" applyProtection="1">
      <alignment vertical="center"/>
      <protection locked="0"/>
    </xf>
    <xf numFmtId="0" fontId="10" fillId="0" borderId="60" xfId="0" applyFont="1" applyBorder="1" applyProtection="1">
      <alignment vertical="center"/>
      <protection locked="0"/>
    </xf>
    <xf numFmtId="174" fontId="22" fillId="9" borderId="71" xfId="0" applyNumberFormat="1" applyFont="1" applyFill="1" applyBorder="1">
      <alignment vertical="center"/>
    </xf>
    <xf numFmtId="178" fontId="22" fillId="16" borderId="7" xfId="0" applyNumberFormat="1" applyFont="1" applyFill="1" applyBorder="1">
      <alignment vertical="center"/>
    </xf>
    <xf numFmtId="174" fontId="22" fillId="9" borderId="48" xfId="0" applyNumberFormat="1" applyFont="1" applyFill="1" applyBorder="1">
      <alignment vertical="center"/>
    </xf>
    <xf numFmtId="174" fontId="23" fillId="9" borderId="67" xfId="0" applyNumberFormat="1" applyFont="1" applyFill="1" applyBorder="1">
      <alignment vertical="center"/>
    </xf>
    <xf numFmtId="178" fontId="23" fillId="19" borderId="67" xfId="0" applyNumberFormat="1" applyFont="1" applyFill="1" applyBorder="1" applyProtection="1">
      <alignment vertical="center"/>
      <protection locked="0"/>
    </xf>
    <xf numFmtId="178" fontId="23" fillId="18" borderId="67" xfId="0" applyNumberFormat="1" applyFont="1" applyFill="1" applyBorder="1" applyProtection="1">
      <alignment vertical="center"/>
      <protection locked="0"/>
    </xf>
    <xf numFmtId="174" fontId="23" fillId="10" borderId="67" xfId="0" applyNumberFormat="1" applyFont="1" applyFill="1" applyBorder="1" applyProtection="1">
      <alignment vertical="center"/>
      <protection locked="0"/>
    </xf>
    <xf numFmtId="174" fontId="23" fillId="9" borderId="67" xfId="0" applyNumberFormat="1" applyFont="1" applyFill="1" applyBorder="1" applyProtection="1">
      <alignment vertical="center"/>
      <protection locked="0"/>
    </xf>
    <xf numFmtId="0" fontId="10" fillId="0" borderId="66" xfId="0" applyFont="1" applyBorder="1" applyProtection="1">
      <alignment vertical="center"/>
      <protection locked="0"/>
    </xf>
    <xf numFmtId="178" fontId="23" fillId="16" borderId="67" xfId="0" applyNumberFormat="1" applyFont="1" applyFill="1" applyBorder="1" applyProtection="1">
      <alignment vertical="center"/>
      <protection locked="0"/>
    </xf>
    <xf numFmtId="174" fontId="23" fillId="11" borderId="67" xfId="0" applyNumberFormat="1" applyFont="1" applyFill="1" applyBorder="1" applyProtection="1">
      <alignment vertical="center"/>
      <protection locked="0"/>
    </xf>
    <xf numFmtId="174" fontId="23" fillId="11" borderId="66" xfId="0" applyNumberFormat="1" applyFont="1" applyFill="1" applyBorder="1" applyProtection="1">
      <alignment vertical="center"/>
      <protection locked="0"/>
    </xf>
    <xf numFmtId="178" fontId="23" fillId="16" borderId="49" xfId="0" applyNumberFormat="1" applyFont="1" applyFill="1" applyBorder="1" applyProtection="1">
      <alignment vertical="center"/>
      <protection locked="0"/>
    </xf>
    <xf numFmtId="174" fontId="23" fillId="11" borderId="49" xfId="0" applyNumberFormat="1" applyFont="1" applyFill="1" applyBorder="1" applyProtection="1">
      <alignment vertical="center"/>
      <protection locked="0"/>
    </xf>
    <xf numFmtId="174" fontId="23" fillId="11" borderId="55" xfId="0" applyNumberFormat="1" applyFont="1" applyFill="1" applyBorder="1" applyProtection="1">
      <alignment vertical="center"/>
      <protection locked="0"/>
    </xf>
    <xf numFmtId="178" fontId="23" fillId="16" borderId="48" xfId="0" applyNumberFormat="1" applyFont="1" applyFill="1" applyBorder="1" applyProtection="1">
      <alignment vertical="center"/>
      <protection locked="0"/>
    </xf>
    <xf numFmtId="174" fontId="23" fillId="11" borderId="48" xfId="0" applyNumberFormat="1" applyFont="1" applyFill="1" applyBorder="1" applyProtection="1">
      <alignment vertical="center"/>
      <protection locked="0"/>
    </xf>
    <xf numFmtId="174" fontId="23" fillId="11" borderId="61" xfId="0" applyNumberFormat="1" applyFont="1" applyFill="1" applyBorder="1" applyProtection="1">
      <alignment vertical="center"/>
      <protection locked="0"/>
    </xf>
    <xf numFmtId="174" fontId="0" fillId="10" borderId="48" xfId="0" applyNumberFormat="1" applyFill="1" applyBorder="1" applyAlignment="1" applyProtection="1">
      <protection locked="0"/>
    </xf>
    <xf numFmtId="174" fontId="0" fillId="9" borderId="48" xfId="0" applyNumberFormat="1" applyFill="1" applyBorder="1" applyAlignment="1" applyProtection="1">
      <protection locked="0"/>
    </xf>
    <xf numFmtId="170" fontId="0" fillId="0" borderId="0" xfId="0" applyNumberFormat="1">
      <alignment vertical="center"/>
    </xf>
    <xf numFmtId="0" fontId="103" fillId="0" borderId="0" xfId="0" applyFont="1">
      <alignment vertical="center"/>
    </xf>
    <xf numFmtId="0" fontId="82" fillId="40" borderId="0" xfId="0" applyFont="1" applyFill="1">
      <alignment vertical="center"/>
    </xf>
    <xf numFmtId="167" fontId="104" fillId="0" borderId="0" xfId="0" applyNumberFormat="1" applyFont="1">
      <alignment vertical="center"/>
    </xf>
    <xf numFmtId="0" fontId="3" fillId="32" borderId="102" xfId="10" applyFont="1" applyFill="1" applyBorder="1"/>
    <xf numFmtId="167" fontId="5" fillId="0" borderId="0" xfId="10" applyNumberFormat="1"/>
    <xf numFmtId="0" fontId="100" fillId="0" borderId="0" xfId="10" applyFont="1"/>
    <xf numFmtId="178" fontId="0" fillId="0" borderId="0" xfId="0" applyNumberFormat="1">
      <alignment vertical="center"/>
    </xf>
    <xf numFmtId="0" fontId="0" fillId="0" borderId="104" xfId="0" applyBorder="1">
      <alignment vertical="center"/>
    </xf>
    <xf numFmtId="0" fontId="50" fillId="21" borderId="75" xfId="0" applyFont="1" applyFill="1" applyBorder="1" applyAlignment="1">
      <alignment horizontal="left"/>
    </xf>
    <xf numFmtId="0" fontId="50" fillId="21" borderId="76" xfId="0" applyFont="1" applyFill="1" applyBorder="1" applyAlignment="1">
      <alignment horizontal="left"/>
    </xf>
    <xf numFmtId="0" fontId="51" fillId="22" borderId="75" xfId="0" applyFont="1" applyFill="1" applyBorder="1" applyAlignment="1"/>
    <xf numFmtId="0" fontId="50" fillId="23" borderId="75" xfId="0" applyFont="1" applyFill="1" applyBorder="1" applyAlignment="1"/>
    <xf numFmtId="1" fontId="51" fillId="22" borderId="75" xfId="1" applyNumberFormat="1" applyFont="1" applyFill="1" applyBorder="1" applyAlignment="1"/>
    <xf numFmtId="0" fontId="50" fillId="24" borderId="75" xfId="0" applyFont="1" applyFill="1" applyBorder="1" applyAlignment="1">
      <alignment horizontal="right"/>
    </xf>
    <xf numFmtId="1" fontId="50" fillId="24" borderId="75" xfId="0" applyNumberFormat="1" applyFont="1" applyFill="1" applyBorder="1" applyAlignment="1"/>
    <xf numFmtId="0" fontId="32" fillId="20" borderId="0" xfId="0" applyFont="1" applyFill="1" applyAlignment="1"/>
    <xf numFmtId="182" fontId="32" fillId="20" borderId="0" xfId="0" applyNumberFormat="1" applyFont="1" applyFill="1" applyAlignment="1"/>
    <xf numFmtId="0" fontId="55" fillId="24" borderId="75" xfId="0" applyFont="1" applyFill="1" applyBorder="1" applyAlignment="1"/>
    <xf numFmtId="0" fontId="56" fillId="25" borderId="76" xfId="0" applyFont="1" applyFill="1" applyBorder="1" applyAlignment="1"/>
    <xf numFmtId="0" fontId="56" fillId="25" borderId="78" xfId="0" applyFont="1" applyFill="1" applyBorder="1" applyAlignment="1"/>
    <xf numFmtId="0" fontId="57" fillId="20" borderId="0" xfId="0" applyFont="1" applyFill="1" applyAlignment="1"/>
    <xf numFmtId="49" fontId="59" fillId="43" borderId="82" xfId="0" applyNumberFormat="1" applyFont="1" applyFill="1" applyBorder="1">
      <alignment vertical="center"/>
    </xf>
    <xf numFmtId="3" fontId="51" fillId="21" borderId="83" xfId="0" applyNumberFormat="1" applyFont="1" applyFill="1" applyBorder="1" applyAlignment="1"/>
    <xf numFmtId="3" fontId="60" fillId="21" borderId="75" xfId="0" applyNumberFormat="1" applyFont="1" applyFill="1" applyBorder="1" applyAlignment="1">
      <alignment horizontal="center"/>
    </xf>
    <xf numFmtId="4" fontId="51" fillId="21" borderId="75" xfId="0" applyNumberFormat="1" applyFont="1" applyFill="1" applyBorder="1" applyAlignment="1">
      <alignment horizontal="center"/>
    </xf>
    <xf numFmtId="4" fontId="50" fillId="21" borderId="84" xfId="0" applyNumberFormat="1" applyFont="1" applyFill="1" applyBorder="1" applyAlignment="1">
      <alignment horizontal="center"/>
    </xf>
    <xf numFmtId="3" fontId="51" fillId="21" borderId="75" xfId="0" applyNumberFormat="1" applyFont="1" applyFill="1" applyBorder="1" applyAlignment="1">
      <alignment horizontal="center"/>
    </xf>
    <xf numFmtId="4" fontId="50" fillId="21" borderId="76" xfId="0" applyNumberFormat="1" applyFont="1" applyFill="1" applyBorder="1" applyAlignment="1">
      <alignment horizontal="center"/>
    </xf>
    <xf numFmtId="0" fontId="34" fillId="44" borderId="85" xfId="0" applyFont="1" applyFill="1" applyBorder="1" applyAlignment="1">
      <alignment wrapText="1"/>
    </xf>
    <xf numFmtId="0" fontId="56" fillId="21" borderId="75" xfId="0" applyFont="1" applyFill="1" applyBorder="1" applyAlignment="1"/>
    <xf numFmtId="0" fontId="33" fillId="18" borderId="51" xfId="0" applyFont="1" applyFill="1" applyBorder="1">
      <alignment vertical="center"/>
    </xf>
    <xf numFmtId="3" fontId="60" fillId="21" borderId="75" xfId="0" applyNumberFormat="1" applyFont="1" applyFill="1" applyBorder="1" applyAlignment="1"/>
    <xf numFmtId="180" fontId="51" fillId="22" borderId="75" xfId="0" applyNumberFormat="1" applyFont="1" applyFill="1" applyBorder="1" applyAlignment="1"/>
    <xf numFmtId="180" fontId="50" fillId="21" borderId="84" xfId="0" applyNumberFormat="1" applyFont="1" applyFill="1" applyBorder="1" applyAlignment="1"/>
    <xf numFmtId="3" fontId="51" fillId="21" borderId="75" xfId="0" applyNumberFormat="1" applyFont="1" applyFill="1" applyBorder="1" applyAlignment="1"/>
    <xf numFmtId="4" fontId="51" fillId="22" borderId="75" xfId="0" applyNumberFormat="1" applyFont="1" applyFill="1" applyBorder="1" applyAlignment="1"/>
    <xf numFmtId="175" fontId="51" fillId="22" borderId="75" xfId="0" applyNumberFormat="1" applyFont="1" applyFill="1" applyBorder="1" applyAlignment="1"/>
    <xf numFmtId="3" fontId="51" fillId="22" borderId="75" xfId="0" applyNumberFormat="1" applyFont="1" applyFill="1" applyBorder="1" applyAlignment="1"/>
    <xf numFmtId="0" fontId="33" fillId="18" borderId="11" xfId="0" applyFont="1" applyFill="1" applyBorder="1">
      <alignment vertical="center"/>
    </xf>
    <xf numFmtId="0" fontId="56" fillId="28" borderId="75" xfId="0" applyFont="1" applyFill="1" applyBorder="1" applyAlignment="1">
      <alignment horizontal="right"/>
    </xf>
    <xf numFmtId="0" fontId="56" fillId="28" borderId="74" xfId="0" applyFont="1" applyFill="1" applyBorder="1" applyAlignment="1">
      <alignment horizontal="right"/>
    </xf>
    <xf numFmtId="3" fontId="51" fillId="20" borderId="86" xfId="0" applyNumberFormat="1" applyFont="1" applyFill="1" applyBorder="1" applyAlignment="1"/>
    <xf numFmtId="3" fontId="60" fillId="20" borderId="74" xfId="0" applyNumberFormat="1" applyFont="1" applyFill="1" applyBorder="1" applyAlignment="1"/>
    <xf numFmtId="4" fontId="51" fillId="20" borderId="74" xfId="0" applyNumberFormat="1" applyFont="1" applyFill="1" applyBorder="1" applyAlignment="1"/>
    <xf numFmtId="180" fontId="50" fillId="28" borderId="84" xfId="0" applyNumberFormat="1" applyFont="1" applyFill="1" applyBorder="1" applyAlignment="1"/>
    <xf numFmtId="3" fontId="51" fillId="20" borderId="74" xfId="0" applyNumberFormat="1" applyFont="1" applyFill="1" applyBorder="1" applyAlignment="1"/>
    <xf numFmtId="0" fontId="57" fillId="20" borderId="74" xfId="0" applyFont="1" applyFill="1" applyBorder="1" applyAlignment="1"/>
    <xf numFmtId="0" fontId="56" fillId="20" borderId="74" xfId="0" applyFont="1" applyFill="1" applyBorder="1" applyAlignment="1">
      <alignment horizontal="center"/>
    </xf>
    <xf numFmtId="0" fontId="62" fillId="29" borderId="74" xfId="0" applyFont="1" applyFill="1" applyBorder="1" applyAlignment="1">
      <alignment horizontal="center"/>
    </xf>
    <xf numFmtId="3" fontId="51" fillId="20" borderId="88" xfId="0" applyNumberFormat="1" applyFont="1" applyFill="1" applyBorder="1" applyAlignment="1"/>
    <xf numFmtId="3" fontId="60" fillId="20" borderId="0" xfId="0" applyNumberFormat="1" applyFont="1" applyFill="1" applyAlignment="1"/>
    <xf numFmtId="0" fontId="56" fillId="21" borderId="75" xfId="0" applyFont="1" applyFill="1" applyBorder="1" applyAlignment="1">
      <alignment horizontal="left" vertical="center"/>
    </xf>
    <xf numFmtId="0" fontId="56" fillId="21" borderId="0" xfId="0" applyFont="1" applyFill="1" applyAlignment="1">
      <alignment horizontal="left" vertical="center"/>
    </xf>
    <xf numFmtId="4" fontId="51" fillId="20" borderId="0" xfId="0" applyNumberFormat="1" applyFont="1" applyFill="1" applyAlignment="1"/>
    <xf numFmtId="0" fontId="56" fillId="28" borderId="0" xfId="0" applyFont="1" applyFill="1" applyAlignment="1">
      <alignment horizontal="right"/>
    </xf>
    <xf numFmtId="0" fontId="66" fillId="20" borderId="0" xfId="0" applyFont="1" applyFill="1" applyAlignment="1"/>
    <xf numFmtId="0" fontId="67" fillId="20" borderId="0" xfId="0" applyFont="1" applyFill="1" applyAlignment="1">
      <alignment horizontal="center"/>
    </xf>
    <xf numFmtId="0" fontId="64" fillId="28" borderId="91" xfId="0" applyFont="1" applyFill="1" applyBorder="1" applyAlignment="1"/>
    <xf numFmtId="0" fontId="64" fillId="28" borderId="92" xfId="0" applyFont="1" applyFill="1" applyBorder="1" applyAlignment="1"/>
    <xf numFmtId="4" fontId="50" fillId="28" borderId="92" xfId="0" applyNumberFormat="1" applyFont="1" applyFill="1" applyBorder="1" applyAlignment="1"/>
    <xf numFmtId="4" fontId="50" fillId="28" borderId="93" xfId="0" applyNumberFormat="1" applyFont="1" applyFill="1" applyBorder="1" applyAlignment="1"/>
    <xf numFmtId="180" fontId="50" fillId="28" borderId="93" xfId="0" applyNumberFormat="1" applyFont="1" applyFill="1" applyBorder="1" applyAlignment="1"/>
    <xf numFmtId="0" fontId="2" fillId="42" borderId="0" xfId="18" applyBorder="1" applyAlignment="1"/>
    <xf numFmtId="190" fontId="3" fillId="42" borderId="0" xfId="1" applyNumberFormat="1" applyFont="1" applyFill="1" applyBorder="1" applyAlignment="1"/>
    <xf numFmtId="0" fontId="106" fillId="20" borderId="0" xfId="0" applyFont="1" applyFill="1" applyAlignment="1"/>
    <xf numFmtId="0" fontId="64" fillId="20" borderId="94" xfId="0" applyFont="1" applyFill="1" applyBorder="1" applyAlignment="1"/>
    <xf numFmtId="0" fontId="64" fillId="20" borderId="95" xfId="0" applyFont="1" applyFill="1" applyBorder="1" applyAlignment="1"/>
    <xf numFmtId="4" fontId="50" fillId="20" borderId="95" xfId="0" applyNumberFormat="1" applyFont="1" applyFill="1" applyBorder="1" applyAlignment="1"/>
    <xf numFmtId="4" fontId="50" fillId="20" borderId="96" xfId="0" applyNumberFormat="1" applyFont="1" applyFill="1" applyBorder="1" applyAlignment="1"/>
    <xf numFmtId="180" fontId="50" fillId="20" borderId="96" xfId="0" applyNumberFormat="1" applyFont="1" applyFill="1" applyBorder="1" applyAlignment="1"/>
    <xf numFmtId="0" fontId="68" fillId="30" borderId="88" xfId="0" applyFont="1" applyFill="1" applyBorder="1" applyAlignment="1"/>
    <xf numFmtId="0" fontId="68" fillId="30" borderId="0" xfId="0" applyFont="1" applyFill="1" applyAlignment="1"/>
    <xf numFmtId="4" fontId="60" fillId="30" borderId="0" xfId="0" applyNumberFormat="1" applyFont="1" applyFill="1" applyAlignment="1"/>
    <xf numFmtId="170" fontId="60" fillId="30" borderId="0" xfId="1" applyFont="1" applyFill="1" applyBorder="1" applyAlignment="1"/>
    <xf numFmtId="0" fontId="34" fillId="44" borderId="0" xfId="0" applyFont="1" applyFill="1" applyAlignment="1">
      <alignment wrapText="1"/>
    </xf>
    <xf numFmtId="0" fontId="0" fillId="18" borderId="0" xfId="0" applyFill="1" applyAlignment="1">
      <alignment wrapText="1"/>
    </xf>
    <xf numFmtId="0" fontId="0" fillId="0" borderId="0" xfId="0" applyAlignment="1">
      <alignment wrapText="1"/>
    </xf>
    <xf numFmtId="180" fontId="50" fillId="21" borderId="84" xfId="0" applyNumberFormat="1" applyFont="1" applyFill="1" applyBorder="1" applyAlignment="1">
      <alignment wrapText="1"/>
    </xf>
    <xf numFmtId="0" fontId="0" fillId="0" borderId="117" xfId="0" applyBorder="1">
      <alignment vertical="center"/>
    </xf>
    <xf numFmtId="0" fontId="0" fillId="0" borderId="118" xfId="0" applyBorder="1">
      <alignment vertical="center"/>
    </xf>
    <xf numFmtId="178" fontId="0" fillId="0" borderId="119" xfId="0" applyNumberFormat="1" applyBorder="1">
      <alignment vertical="center"/>
    </xf>
    <xf numFmtId="178" fontId="0" fillId="0" borderId="75" xfId="0" applyNumberFormat="1" applyBorder="1">
      <alignment vertical="center"/>
    </xf>
    <xf numFmtId="178" fontId="0" fillId="0" borderId="122" xfId="0" applyNumberFormat="1" applyBorder="1">
      <alignment vertical="center"/>
    </xf>
    <xf numFmtId="178" fontId="0" fillId="0" borderId="124" xfId="0" applyNumberFormat="1" applyBorder="1">
      <alignment vertical="center"/>
    </xf>
    <xf numFmtId="178" fontId="0" fillId="0" borderId="125" xfId="0" applyNumberFormat="1" applyBorder="1">
      <alignment vertical="center"/>
    </xf>
    <xf numFmtId="178" fontId="0" fillId="0" borderId="126" xfId="0" applyNumberFormat="1" applyBorder="1">
      <alignment vertical="center"/>
    </xf>
    <xf numFmtId="0" fontId="0" fillId="0" borderId="74" xfId="0" applyBorder="1">
      <alignment vertical="center"/>
    </xf>
    <xf numFmtId="0" fontId="0" fillId="0" borderId="77" xfId="0" applyBorder="1">
      <alignment vertical="center"/>
    </xf>
    <xf numFmtId="0" fontId="15" fillId="0" borderId="112" xfId="0" applyFont="1" applyBorder="1">
      <alignment vertical="center"/>
    </xf>
    <xf numFmtId="0" fontId="15" fillId="0" borderId="113" xfId="0" applyFont="1" applyBorder="1">
      <alignment vertical="center"/>
    </xf>
    <xf numFmtId="0" fontId="15" fillId="0" borderId="114" xfId="0" applyFont="1" applyBorder="1">
      <alignment vertical="center"/>
    </xf>
    <xf numFmtId="178" fontId="15" fillId="0" borderId="120" xfId="0" applyNumberFormat="1" applyFont="1" applyBorder="1">
      <alignment vertical="center"/>
    </xf>
    <xf numFmtId="178" fontId="15" fillId="0" borderId="121" xfId="0" applyNumberFormat="1" applyFont="1" applyBorder="1">
      <alignment vertical="center"/>
    </xf>
    <xf numFmtId="178" fontId="15" fillId="0" borderId="123" xfId="0" applyNumberFormat="1" applyFont="1" applyBorder="1">
      <alignment vertical="center"/>
    </xf>
    <xf numFmtId="0" fontId="15" fillId="0" borderId="110" xfId="0" applyFont="1" applyBorder="1">
      <alignment vertical="center"/>
    </xf>
    <xf numFmtId="0" fontId="15" fillId="0" borderId="111" xfId="0" applyFont="1" applyBorder="1">
      <alignment vertical="center"/>
    </xf>
    <xf numFmtId="166" fontId="0" fillId="18" borderId="0" xfId="0" applyNumberFormat="1" applyFill="1" applyAlignment="1">
      <alignment wrapText="1"/>
    </xf>
    <xf numFmtId="167" fontId="13" fillId="0" borderId="0" xfId="0" applyNumberFormat="1" applyFont="1" applyProtection="1">
      <alignment vertical="center"/>
      <protection locked="0"/>
    </xf>
    <xf numFmtId="178" fontId="107" fillId="0" borderId="109" xfId="0" applyNumberFormat="1" applyFont="1" applyBorder="1">
      <alignment vertical="center"/>
    </xf>
    <xf numFmtId="0" fontId="82" fillId="0" borderId="110" xfId="0" applyFont="1" applyBorder="1">
      <alignment vertical="center"/>
    </xf>
    <xf numFmtId="0" fontId="82" fillId="0" borderId="111" xfId="0" applyFont="1" applyBorder="1">
      <alignment vertical="center"/>
    </xf>
    <xf numFmtId="178" fontId="107" fillId="0" borderId="112" xfId="0" applyNumberFormat="1" applyFont="1" applyBorder="1" applyAlignment="1">
      <alignment horizontal="center" vertical="center" wrapText="1"/>
    </xf>
    <xf numFmtId="0" fontId="82" fillId="0" borderId="113" xfId="0" applyFont="1" applyBorder="1" applyAlignment="1">
      <alignment horizontal="center" vertical="center" wrapText="1"/>
    </xf>
    <xf numFmtId="0" fontId="82" fillId="0" borderId="114" xfId="0" applyFont="1" applyBorder="1" applyAlignment="1">
      <alignment horizontal="center" vertical="center" wrapText="1"/>
    </xf>
    <xf numFmtId="0" fontId="0" fillId="45" borderId="0" xfId="0" applyFill="1">
      <alignment vertical="center"/>
    </xf>
    <xf numFmtId="9" fontId="0" fillId="0" borderId="0" xfId="0" applyNumberFormat="1">
      <alignment vertical="center"/>
    </xf>
    <xf numFmtId="167" fontId="0" fillId="0" borderId="0" xfId="0" applyNumberFormat="1">
      <alignment vertical="center"/>
    </xf>
    <xf numFmtId="9" fontId="0" fillId="0" borderId="0" xfId="0" applyNumberFormat="1" applyAlignment="1">
      <alignment vertical="center" wrapText="1"/>
    </xf>
    <xf numFmtId="0" fontId="109" fillId="0" borderId="75" xfId="0" applyFont="1" applyBorder="1" applyAlignment="1">
      <alignment horizontal="center" vertical="center"/>
    </xf>
    <xf numFmtId="0" fontId="109" fillId="0" borderId="75" xfId="0" applyFont="1" applyBorder="1">
      <alignment vertical="center"/>
    </xf>
    <xf numFmtId="0" fontId="109" fillId="40" borderId="75" xfId="0" applyFont="1" applyFill="1" applyBorder="1" applyAlignment="1">
      <alignment horizontal="center" vertical="center"/>
    </xf>
    <xf numFmtId="0" fontId="108" fillId="0" borderId="127" xfId="0" applyFont="1" applyBorder="1">
      <alignment vertical="center"/>
    </xf>
    <xf numFmtId="0" fontId="108" fillId="0" borderId="128" xfId="0" applyFont="1" applyBorder="1" applyAlignment="1">
      <alignment horizontal="center" vertical="center"/>
    </xf>
    <xf numFmtId="0" fontId="108" fillId="0" borderId="128" xfId="0" applyFont="1" applyBorder="1">
      <alignment vertical="center"/>
    </xf>
    <xf numFmtId="0" fontId="108" fillId="0" borderId="129" xfId="0" applyFont="1" applyBorder="1" applyAlignment="1">
      <alignment horizontal="center" vertical="center"/>
    </xf>
    <xf numFmtId="0" fontId="108" fillId="0" borderId="125" xfId="0" applyFont="1" applyBorder="1">
      <alignment vertical="center"/>
    </xf>
    <xf numFmtId="0" fontId="109" fillId="0" borderId="121" xfId="0" applyFont="1" applyBorder="1" applyAlignment="1">
      <alignment horizontal="center" vertical="center"/>
    </xf>
    <xf numFmtId="0" fontId="109" fillId="40" borderId="121" xfId="0" applyFont="1" applyFill="1" applyBorder="1" applyAlignment="1">
      <alignment horizontal="center" vertical="center"/>
    </xf>
    <xf numFmtId="0" fontId="108" fillId="0" borderId="126" xfId="0" applyFont="1" applyBorder="1">
      <alignment vertical="center"/>
    </xf>
    <xf numFmtId="0" fontId="108" fillId="0" borderId="122" xfId="0" applyFont="1" applyBorder="1" applyAlignment="1">
      <alignment horizontal="center" vertical="center"/>
    </xf>
    <xf numFmtId="0" fontId="108" fillId="0" borderId="122" xfId="0" applyFont="1" applyBorder="1">
      <alignment vertical="center"/>
    </xf>
    <xf numFmtId="0" fontId="109" fillId="0" borderId="122" xfId="0" applyFont="1" applyBorder="1">
      <alignment vertical="center"/>
    </xf>
    <xf numFmtId="0" fontId="108" fillId="0" borderId="123" xfId="0" applyFont="1" applyBorder="1" applyAlignment="1">
      <alignment horizontal="center" vertical="center"/>
    </xf>
    <xf numFmtId="0" fontId="1" fillId="0" borderId="0" xfId="10" applyFont="1"/>
    <xf numFmtId="191" fontId="5" fillId="0" borderId="0" xfId="10" applyNumberFormat="1"/>
    <xf numFmtId="170" fontId="5" fillId="0" borderId="0" xfId="10" applyNumberFormat="1"/>
    <xf numFmtId="0" fontId="0" fillId="0" borderId="0" xfId="0" applyAlignment="1">
      <alignment horizontal="left" vertical="center" indent="3"/>
    </xf>
    <xf numFmtId="167" fontId="5" fillId="0" borderId="0" xfId="16" applyFont="1"/>
    <xf numFmtId="193" fontId="0" fillId="0" borderId="0" xfId="0" applyNumberFormat="1">
      <alignment vertical="center"/>
    </xf>
    <xf numFmtId="194" fontId="0" fillId="0" borderId="0" xfId="0" applyNumberFormat="1">
      <alignment vertical="center"/>
    </xf>
    <xf numFmtId="192" fontId="13" fillId="0" borderId="47" xfId="16" applyNumberFormat="1" applyFont="1" applyBorder="1" applyAlignment="1" applyProtection="1">
      <alignment vertical="center"/>
      <protection locked="0"/>
    </xf>
    <xf numFmtId="192" fontId="13" fillId="0" borderId="106" xfId="0" applyNumberFormat="1" applyFont="1" applyBorder="1" applyProtection="1">
      <alignment vertical="center"/>
      <protection locked="0"/>
    </xf>
    <xf numFmtId="192" fontId="13" fillId="0" borderId="45" xfId="0" applyNumberFormat="1" applyFont="1" applyBorder="1" applyProtection="1">
      <alignment vertical="center"/>
      <protection locked="0"/>
    </xf>
    <xf numFmtId="192" fontId="13" fillId="0" borderId="21" xfId="0" applyNumberFormat="1" applyFont="1" applyBorder="1" applyProtection="1">
      <alignment vertical="center"/>
      <protection locked="0"/>
    </xf>
    <xf numFmtId="192" fontId="13" fillId="0" borderId="16" xfId="0" applyNumberFormat="1" applyFont="1" applyBorder="1" applyProtection="1">
      <alignment vertical="center"/>
      <protection locked="0"/>
    </xf>
    <xf numFmtId="192" fontId="13" fillId="0" borderId="17" xfId="0" applyNumberFormat="1" applyFont="1" applyBorder="1" applyProtection="1">
      <alignment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16" fillId="0" borderId="51" xfId="0" applyFont="1" applyBorder="1" applyAlignment="1" applyProtection="1">
      <alignment horizontal="center" vertical="center"/>
      <protection locked="0"/>
    </xf>
    <xf numFmtId="169" fontId="11" fillId="3" borderId="50" xfId="0" applyNumberFormat="1" applyFont="1" applyFill="1" applyBorder="1" applyAlignment="1">
      <alignment horizontal="center" vertical="center" textRotation="90" wrapText="1"/>
    </xf>
    <xf numFmtId="169" fontId="11" fillId="4" borderId="50" xfId="0" applyNumberFormat="1" applyFont="1" applyFill="1" applyBorder="1" applyAlignment="1">
      <alignment horizontal="center" vertical="center" textRotation="90" wrapText="1"/>
    </xf>
    <xf numFmtId="169" fontId="11" fillId="5" borderId="50" xfId="0" applyNumberFormat="1" applyFont="1" applyFill="1" applyBorder="1" applyAlignment="1">
      <alignment horizontal="center" vertical="center" textRotation="90" wrapText="1"/>
    </xf>
    <xf numFmtId="169" fontId="11" fillId="6" borderId="50" xfId="0" applyNumberFormat="1" applyFont="1" applyFill="1" applyBorder="1" applyAlignment="1">
      <alignment horizontal="center" vertical="center" textRotation="90" wrapText="1"/>
    </xf>
    <xf numFmtId="0" fontId="16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11" fillId="0" borderId="14" xfId="2" applyFont="1" applyBorder="1" applyAlignment="1" applyProtection="1">
      <alignment horizontal="center" vertical="center" wrapText="1"/>
    </xf>
    <xf numFmtId="0" fontId="11" fillId="0" borderId="57" xfId="2" applyFont="1" applyBorder="1" applyAlignment="1" applyProtection="1">
      <alignment horizontal="center" vertical="center" wrapText="1"/>
    </xf>
    <xf numFmtId="0" fontId="11" fillId="0" borderId="70" xfId="2" applyFont="1" applyBorder="1" applyAlignment="1" applyProtection="1">
      <alignment horizontal="center" vertical="center"/>
      <protection locked="0"/>
    </xf>
    <xf numFmtId="0" fontId="11" fillId="0" borderId="50" xfId="2" applyFont="1" applyBorder="1" applyAlignment="1" applyProtection="1">
      <alignment horizontal="center" vertical="center"/>
      <protection locked="0"/>
    </xf>
    <xf numFmtId="0" fontId="11" fillId="0" borderId="3" xfId="2" applyFont="1" applyBorder="1" applyAlignment="1" applyProtection="1">
      <alignment horizontal="center" vertical="center" wrapText="1"/>
    </xf>
    <xf numFmtId="0" fontId="11" fillId="0" borderId="55" xfId="2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Alignment="1"/>
    <xf numFmtId="0" fontId="14" fillId="0" borderId="0" xfId="0" applyFont="1" applyAlignment="1"/>
    <xf numFmtId="177" fontId="40" fillId="0" borderId="0" xfId="0" applyNumberFormat="1" applyFont="1" applyAlignment="1"/>
    <xf numFmtId="0" fontId="29" fillId="0" borderId="0" xfId="0" applyFont="1" applyAlignment="1"/>
    <xf numFmtId="0" fontId="44" fillId="0" borderId="0" xfId="0" applyFont="1" applyAlignment="1"/>
    <xf numFmtId="177" fontId="29" fillId="0" borderId="0" xfId="0" applyNumberFormat="1" applyFont="1" applyAlignment="1"/>
    <xf numFmtId="177" fontId="39" fillId="0" borderId="0" xfId="0" applyNumberFormat="1" applyFont="1" applyAlignment="1"/>
    <xf numFmtId="177" fontId="39" fillId="13" borderId="0" xfId="0" applyNumberFormat="1" applyFont="1" applyFill="1" applyAlignment="1">
      <alignment horizontal="center"/>
    </xf>
    <xf numFmtId="177" fontId="39" fillId="0" borderId="0" xfId="0" applyNumberFormat="1" applyFont="1" applyAlignment="1">
      <alignment horizontal="center"/>
    </xf>
    <xf numFmtId="177" fontId="41" fillId="0" borderId="0" xfId="0" applyNumberFormat="1" applyFont="1" applyAlignment="1"/>
    <xf numFmtId="4" fontId="51" fillId="22" borderId="76" xfId="0" applyNumberFormat="1" applyFont="1" applyFill="1" applyBorder="1" applyAlignment="1">
      <alignment horizontal="left"/>
    </xf>
    <xf numFmtId="4" fontId="51" fillId="22" borderId="77" xfId="0" applyNumberFormat="1" applyFont="1" applyFill="1" applyBorder="1" applyAlignment="1">
      <alignment horizontal="left"/>
    </xf>
    <xf numFmtId="4" fontId="51" fillId="22" borderId="78" xfId="0" applyNumberFormat="1" applyFont="1" applyFill="1" applyBorder="1" applyAlignment="1">
      <alignment horizontal="left"/>
    </xf>
    <xf numFmtId="0" fontId="50" fillId="21" borderId="76" xfId="0" applyFont="1" applyFill="1" applyBorder="1" applyAlignment="1"/>
    <xf numFmtId="0" fontId="50" fillId="21" borderId="78" xfId="0" applyFont="1" applyFill="1" applyBorder="1" applyAlignment="1"/>
    <xf numFmtId="0" fontId="48" fillId="0" borderId="0" xfId="0" applyFont="1" applyAlignment="1">
      <alignment horizontal="center"/>
    </xf>
    <xf numFmtId="0" fontId="49" fillId="20" borderId="74" xfId="0" applyFont="1" applyFill="1" applyBorder="1" applyAlignment="1">
      <alignment horizontal="center"/>
    </xf>
    <xf numFmtId="0" fontId="34" fillId="0" borderId="74" xfId="0" applyFont="1" applyBorder="1" applyAlignment="1">
      <alignment wrapText="1"/>
    </xf>
    <xf numFmtId="49" fontId="51" fillId="22" borderId="76" xfId="0" applyNumberFormat="1" applyFont="1" applyFill="1" applyBorder="1" applyAlignment="1">
      <alignment horizontal="center"/>
    </xf>
    <xf numFmtId="49" fontId="51" fillId="22" borderId="77" xfId="0" applyNumberFormat="1" applyFont="1" applyFill="1" applyBorder="1" applyAlignment="1">
      <alignment horizontal="center"/>
    </xf>
    <xf numFmtId="49" fontId="51" fillId="22" borderId="78" xfId="0" applyNumberFormat="1" applyFont="1" applyFill="1" applyBorder="1" applyAlignment="1">
      <alignment horizontal="center"/>
    </xf>
    <xf numFmtId="0" fontId="52" fillId="21" borderId="76" xfId="0" applyFont="1" applyFill="1" applyBorder="1" applyAlignment="1">
      <alignment horizontal="center"/>
    </xf>
    <xf numFmtId="0" fontId="52" fillId="21" borderId="77" xfId="0" applyFont="1" applyFill="1" applyBorder="1" applyAlignment="1">
      <alignment horizontal="center"/>
    </xf>
    <xf numFmtId="0" fontId="52" fillId="21" borderId="78" xfId="0" applyFont="1" applyFill="1" applyBorder="1" applyAlignment="1">
      <alignment horizontal="center"/>
    </xf>
    <xf numFmtId="0" fontId="53" fillId="23" borderId="76" xfId="0" applyFont="1" applyFill="1" applyBorder="1" applyAlignment="1">
      <alignment horizontal="center"/>
    </xf>
    <xf numFmtId="0" fontId="53" fillId="23" borderId="78" xfId="0" applyFont="1" applyFill="1" applyBorder="1" applyAlignment="1">
      <alignment horizontal="center"/>
    </xf>
    <xf numFmtId="180" fontId="51" fillId="22" borderId="76" xfId="0" applyNumberFormat="1" applyFont="1" applyFill="1" applyBorder="1" applyAlignment="1">
      <alignment horizontal="center"/>
    </xf>
    <xf numFmtId="180" fontId="51" fillId="22" borderId="77" xfId="0" applyNumberFormat="1" applyFont="1" applyFill="1" applyBorder="1" applyAlignment="1">
      <alignment horizontal="center"/>
    </xf>
    <xf numFmtId="180" fontId="51" fillId="22" borderId="78" xfId="0" applyNumberFormat="1" applyFont="1" applyFill="1" applyBorder="1" applyAlignment="1">
      <alignment horizontal="center"/>
    </xf>
    <xf numFmtId="181" fontId="51" fillId="22" borderId="76" xfId="0" applyNumberFormat="1" applyFont="1" applyFill="1" applyBorder="1" applyAlignment="1">
      <alignment horizontal="left"/>
    </xf>
    <xf numFmtId="181" fontId="51" fillId="22" borderId="77" xfId="0" applyNumberFormat="1" applyFont="1" applyFill="1" applyBorder="1" applyAlignment="1">
      <alignment horizontal="left"/>
    </xf>
    <xf numFmtId="181" fontId="51" fillId="22" borderId="78" xfId="0" applyNumberFormat="1" applyFont="1" applyFill="1" applyBorder="1" applyAlignment="1">
      <alignment horizontal="left"/>
    </xf>
    <xf numFmtId="3" fontId="50" fillId="21" borderId="76" xfId="0" applyNumberFormat="1" applyFont="1" applyFill="1" applyBorder="1" applyAlignment="1">
      <alignment horizontal="center"/>
    </xf>
    <xf numFmtId="3" fontId="50" fillId="21" borderId="77" xfId="0" applyNumberFormat="1" applyFont="1" applyFill="1" applyBorder="1" applyAlignment="1">
      <alignment horizontal="center"/>
    </xf>
    <xf numFmtId="3" fontId="50" fillId="21" borderId="78" xfId="0" applyNumberFormat="1" applyFont="1" applyFill="1" applyBorder="1" applyAlignment="1">
      <alignment horizontal="center"/>
    </xf>
    <xf numFmtId="3" fontId="51" fillId="22" borderId="76" xfId="0" applyNumberFormat="1" applyFont="1" applyFill="1" applyBorder="1" applyAlignment="1">
      <alignment horizontal="center"/>
    </xf>
    <xf numFmtId="3" fontId="51" fillId="22" borderId="77" xfId="0" applyNumberFormat="1" applyFont="1" applyFill="1" applyBorder="1" applyAlignment="1">
      <alignment horizontal="center"/>
    </xf>
    <xf numFmtId="3" fontId="51" fillId="22" borderId="78" xfId="0" applyNumberFormat="1" applyFont="1" applyFill="1" applyBorder="1" applyAlignment="1">
      <alignment horizontal="center"/>
    </xf>
    <xf numFmtId="3" fontId="50" fillId="24" borderId="76" xfId="0" applyNumberFormat="1" applyFont="1" applyFill="1" applyBorder="1" applyAlignment="1">
      <alignment horizontal="center"/>
    </xf>
    <xf numFmtId="3" fontId="50" fillId="24" borderId="78" xfId="0" applyNumberFormat="1" applyFont="1" applyFill="1" applyBorder="1" applyAlignment="1">
      <alignment horizontal="center"/>
    </xf>
    <xf numFmtId="190" fontId="3" fillId="42" borderId="116" xfId="1" applyNumberFormat="1" applyFont="1" applyFill="1" applyBorder="1" applyAlignment="1"/>
    <xf numFmtId="170" fontId="57" fillId="20" borderId="77" xfId="0" applyNumberFormat="1" applyFont="1" applyFill="1" applyBorder="1" applyAlignment="1">
      <alignment horizontal="center"/>
    </xf>
    <xf numFmtId="0" fontId="52" fillId="21" borderId="0" xfId="0" applyFont="1" applyFill="1" applyAlignment="1">
      <alignment horizontal="center" vertical="center"/>
    </xf>
    <xf numFmtId="0" fontId="52" fillId="21" borderId="79" xfId="0" applyFont="1" applyFill="1" applyBorder="1" applyAlignment="1">
      <alignment horizontal="center" vertical="center"/>
    </xf>
    <xf numFmtId="0" fontId="58" fillId="21" borderId="80" xfId="0" applyFont="1" applyFill="1" applyBorder="1" applyAlignment="1">
      <alignment horizontal="center"/>
    </xf>
    <xf numFmtId="0" fontId="58" fillId="21" borderId="77" xfId="0" applyFont="1" applyFill="1" applyBorder="1" applyAlignment="1">
      <alignment horizontal="center"/>
    </xf>
    <xf numFmtId="0" fontId="58" fillId="21" borderId="81" xfId="0" applyFont="1" applyFill="1" applyBorder="1" applyAlignment="1">
      <alignment horizontal="center"/>
    </xf>
    <xf numFmtId="0" fontId="61" fillId="27" borderId="76" xfId="0" applyFont="1" applyFill="1" applyBorder="1" applyAlignment="1">
      <alignment horizontal="center"/>
    </xf>
    <xf numFmtId="0" fontId="61" fillId="27" borderId="77" xfId="0" applyFont="1" applyFill="1" applyBorder="1" applyAlignment="1">
      <alignment horizontal="center"/>
    </xf>
    <xf numFmtId="0" fontId="34" fillId="0" borderId="77" xfId="0" applyFont="1" applyBorder="1" applyAlignment="1">
      <alignment wrapText="1"/>
    </xf>
    <xf numFmtId="0" fontId="105" fillId="44" borderId="76" xfId="17" applyFont="1" applyFill="1" applyBorder="1" applyAlignment="1">
      <alignment horizontal="center"/>
    </xf>
    <xf numFmtId="0" fontId="105" fillId="44" borderId="77" xfId="17" applyFont="1" applyFill="1" applyBorder="1" applyAlignment="1">
      <alignment horizontal="center"/>
    </xf>
    <xf numFmtId="0" fontId="105" fillId="44" borderId="81" xfId="17" applyFont="1" applyFill="1" applyBorder="1" applyAlignment="1">
      <alignment horizontal="center"/>
    </xf>
    <xf numFmtId="0" fontId="62" fillId="29" borderId="87" xfId="0" applyFont="1" applyFill="1" applyBorder="1" applyAlignment="1">
      <alignment horizontal="center"/>
    </xf>
    <xf numFmtId="0" fontId="62" fillId="29" borderId="74" xfId="0" applyFont="1" applyFill="1" applyBorder="1" applyAlignment="1">
      <alignment horizontal="center"/>
    </xf>
    <xf numFmtId="0" fontId="105" fillId="44" borderId="115" xfId="17" applyFont="1" applyFill="1" applyBorder="1" applyAlignment="1">
      <alignment horizontal="center"/>
    </xf>
    <xf numFmtId="180" fontId="50" fillId="28" borderId="91" xfId="0" applyNumberFormat="1" applyFont="1" applyFill="1" applyBorder="1" applyAlignment="1"/>
    <xf numFmtId="180" fontId="50" fillId="28" borderId="92" xfId="0" applyNumberFormat="1" applyFont="1" applyFill="1" applyBorder="1" applyAlignment="1"/>
    <xf numFmtId="180" fontId="50" fillId="28" borderId="93" xfId="0" applyNumberFormat="1" applyFont="1" applyFill="1" applyBorder="1" applyAlignment="1"/>
    <xf numFmtId="190" fontId="3" fillId="42" borderId="0" xfId="1" applyNumberFormat="1" applyFont="1" applyFill="1" applyBorder="1" applyAlignment="1"/>
    <xf numFmtId="0" fontId="66" fillId="20" borderId="0" xfId="0" applyFont="1" applyFill="1" applyAlignment="1"/>
    <xf numFmtId="180" fontId="50" fillId="20" borderId="94" xfId="0" applyNumberFormat="1" applyFont="1" applyFill="1" applyBorder="1" applyAlignment="1"/>
    <xf numFmtId="180" fontId="50" fillId="20" borderId="95" xfId="0" applyNumberFormat="1" applyFont="1" applyFill="1" applyBorder="1" applyAlignment="1"/>
    <xf numFmtId="180" fontId="50" fillId="20" borderId="96" xfId="0" applyNumberFormat="1" applyFont="1" applyFill="1" applyBorder="1" applyAlignment="1"/>
    <xf numFmtId="0" fontId="15" fillId="0" borderId="109" xfId="0" applyFont="1" applyBorder="1" applyAlignment="1">
      <alignment horizontal="center" vertical="center"/>
    </xf>
    <xf numFmtId="0" fontId="15" fillId="0" borderId="110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15" fillId="0" borderId="1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12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15" fillId="0" borderId="111" xfId="0" applyFont="1" applyBorder="1" applyAlignment="1">
      <alignment horizontal="center" vertical="center"/>
    </xf>
    <xf numFmtId="171" fontId="11" fillId="0" borderId="32" xfId="0" applyNumberFormat="1" applyFont="1" applyBorder="1" applyAlignment="1">
      <alignment horizontal="center" vertical="center"/>
    </xf>
    <xf numFmtId="171" fontId="11" fillId="0" borderId="3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8" fillId="0" borderId="0" xfId="6" applyFont="1" applyAlignment="1">
      <alignment horizontal="center"/>
    </xf>
    <xf numFmtId="0" fontId="49" fillId="20" borderId="74" xfId="6" applyFont="1" applyFill="1" applyBorder="1" applyAlignment="1">
      <alignment horizontal="center"/>
    </xf>
    <xf numFmtId="0" fontId="34" fillId="0" borderId="74" xfId="6" applyFont="1" applyBorder="1" applyAlignment="1">
      <alignment wrapText="1"/>
    </xf>
    <xf numFmtId="0" fontId="0" fillId="0" borderId="104" xfId="0" applyBorder="1">
      <alignment vertical="center"/>
    </xf>
    <xf numFmtId="16" fontId="0" fillId="0" borderId="104" xfId="0" applyNumberFormat="1" applyBorder="1">
      <alignment vertical="center"/>
    </xf>
    <xf numFmtId="0" fontId="0" fillId="0" borderId="0" xfId="0">
      <alignment vertical="center"/>
    </xf>
    <xf numFmtId="0" fontId="72" fillId="0" borderId="0" xfId="0" applyFont="1">
      <alignment vertical="center"/>
    </xf>
    <xf numFmtId="16" fontId="0" fillId="0" borderId="0" xfId="0" applyNumberFormat="1">
      <alignment vertical="center"/>
    </xf>
    <xf numFmtId="4" fontId="51" fillId="22" borderId="76" xfId="6" applyNumberFormat="1" applyFont="1" applyFill="1" applyBorder="1" applyAlignment="1">
      <alignment horizontal="left"/>
    </xf>
    <xf numFmtId="4" fontId="51" fillId="22" borderId="77" xfId="6" applyNumberFormat="1" applyFont="1" applyFill="1" applyBorder="1" applyAlignment="1">
      <alignment horizontal="left"/>
    </xf>
    <xf numFmtId="4" fontId="51" fillId="22" borderId="78" xfId="6" applyNumberFormat="1" applyFont="1" applyFill="1" applyBorder="1" applyAlignment="1">
      <alignment horizontal="left"/>
    </xf>
    <xf numFmtId="0" fontId="50" fillId="21" borderId="76" xfId="6" applyFont="1" applyFill="1" applyBorder="1"/>
    <xf numFmtId="0" fontId="50" fillId="21" borderId="78" xfId="6" applyFont="1" applyFill="1" applyBorder="1"/>
    <xf numFmtId="49" fontId="51" fillId="22" borderId="76" xfId="6" applyNumberFormat="1" applyFont="1" applyFill="1" applyBorder="1" applyAlignment="1">
      <alignment horizontal="center"/>
    </xf>
    <xf numFmtId="49" fontId="51" fillId="22" borderId="77" xfId="6" applyNumberFormat="1" applyFont="1" applyFill="1" applyBorder="1" applyAlignment="1">
      <alignment horizontal="center"/>
    </xf>
    <xf numFmtId="49" fontId="51" fillId="22" borderId="78" xfId="6" applyNumberFormat="1" applyFont="1" applyFill="1" applyBorder="1" applyAlignment="1">
      <alignment horizontal="center"/>
    </xf>
    <xf numFmtId="0" fontId="52" fillId="21" borderId="76" xfId="6" applyFont="1" applyFill="1" applyBorder="1" applyAlignment="1">
      <alignment horizontal="center"/>
    </xf>
    <xf numFmtId="0" fontId="52" fillId="21" borderId="77" xfId="6" applyFont="1" applyFill="1" applyBorder="1" applyAlignment="1">
      <alignment horizontal="center"/>
    </xf>
    <xf numFmtId="0" fontId="52" fillId="21" borderId="78" xfId="6" applyFont="1" applyFill="1" applyBorder="1" applyAlignment="1">
      <alignment horizontal="center"/>
    </xf>
    <xf numFmtId="0" fontId="53" fillId="23" borderId="76" xfId="6" applyFont="1" applyFill="1" applyBorder="1" applyAlignment="1">
      <alignment horizontal="center"/>
    </xf>
    <xf numFmtId="0" fontId="53" fillId="23" borderId="78" xfId="6" applyFont="1" applyFill="1" applyBorder="1" applyAlignment="1">
      <alignment horizontal="center"/>
    </xf>
    <xf numFmtId="180" fontId="51" fillId="22" borderId="76" xfId="6" applyNumberFormat="1" applyFont="1" applyFill="1" applyBorder="1" applyAlignment="1">
      <alignment horizontal="center"/>
    </xf>
    <xf numFmtId="180" fontId="51" fillId="22" borderId="77" xfId="6" applyNumberFormat="1" applyFont="1" applyFill="1" applyBorder="1" applyAlignment="1">
      <alignment horizontal="center"/>
    </xf>
    <xf numFmtId="180" fontId="51" fillId="22" borderId="78" xfId="6" applyNumberFormat="1" applyFont="1" applyFill="1" applyBorder="1" applyAlignment="1">
      <alignment horizontal="center"/>
    </xf>
    <xf numFmtId="181" fontId="51" fillId="22" borderId="76" xfId="6" applyNumberFormat="1" applyFont="1" applyFill="1" applyBorder="1" applyAlignment="1">
      <alignment horizontal="left"/>
    </xf>
    <xf numFmtId="181" fontId="51" fillId="22" borderId="77" xfId="6" applyNumberFormat="1" applyFont="1" applyFill="1" applyBorder="1" applyAlignment="1">
      <alignment horizontal="left"/>
    </xf>
    <xf numFmtId="181" fontId="51" fillId="22" borderId="78" xfId="6" applyNumberFormat="1" applyFont="1" applyFill="1" applyBorder="1" applyAlignment="1">
      <alignment horizontal="left"/>
    </xf>
    <xf numFmtId="3" fontId="50" fillId="21" borderId="76" xfId="6" applyNumberFormat="1" applyFont="1" applyFill="1" applyBorder="1" applyAlignment="1">
      <alignment horizontal="center"/>
    </xf>
    <xf numFmtId="3" fontId="50" fillId="21" borderId="77" xfId="6" applyNumberFormat="1" applyFont="1" applyFill="1" applyBorder="1" applyAlignment="1">
      <alignment horizontal="center"/>
    </xf>
    <xf numFmtId="3" fontId="50" fillId="21" borderId="78" xfId="6" applyNumberFormat="1" applyFont="1" applyFill="1" applyBorder="1" applyAlignment="1">
      <alignment horizontal="center"/>
    </xf>
    <xf numFmtId="3" fontId="51" fillId="22" borderId="76" xfId="6" applyNumberFormat="1" applyFont="1" applyFill="1" applyBorder="1" applyAlignment="1">
      <alignment horizontal="center"/>
    </xf>
    <xf numFmtId="3" fontId="51" fillId="22" borderId="77" xfId="6" applyNumberFormat="1" applyFont="1" applyFill="1" applyBorder="1" applyAlignment="1">
      <alignment horizontal="center"/>
    </xf>
    <xf numFmtId="3" fontId="51" fillId="22" borderId="78" xfId="6" applyNumberFormat="1" applyFont="1" applyFill="1" applyBorder="1" applyAlignment="1">
      <alignment horizontal="center"/>
    </xf>
    <xf numFmtId="3" fontId="50" fillId="24" borderId="76" xfId="6" applyNumberFormat="1" applyFont="1" applyFill="1" applyBorder="1" applyAlignment="1">
      <alignment horizontal="center"/>
    </xf>
    <xf numFmtId="3" fontId="50" fillId="24" borderId="78" xfId="6" applyNumberFormat="1" applyFont="1" applyFill="1" applyBorder="1" applyAlignment="1">
      <alignment horizontal="center"/>
    </xf>
    <xf numFmtId="0" fontId="52" fillId="21" borderId="0" xfId="6" applyFont="1" applyFill="1" applyAlignment="1">
      <alignment horizontal="center" vertical="center"/>
    </xf>
    <xf numFmtId="0" fontId="52" fillId="21" borderId="79" xfId="6" applyFont="1" applyFill="1" applyBorder="1" applyAlignment="1">
      <alignment horizontal="center" vertical="center"/>
    </xf>
    <xf numFmtId="0" fontId="58" fillId="21" borderId="80" xfId="6" applyFont="1" applyFill="1" applyBorder="1" applyAlignment="1">
      <alignment horizontal="center"/>
    </xf>
    <xf numFmtId="0" fontId="58" fillId="21" borderId="77" xfId="6" applyFont="1" applyFill="1" applyBorder="1" applyAlignment="1">
      <alignment horizontal="center"/>
    </xf>
    <xf numFmtId="0" fontId="58" fillId="21" borderId="81" xfId="6" applyFont="1" applyFill="1" applyBorder="1" applyAlignment="1">
      <alignment horizontal="center"/>
    </xf>
    <xf numFmtId="49" fontId="59" fillId="26" borderId="82" xfId="6" applyNumberFormat="1" applyFont="1" applyFill="1" applyBorder="1" applyAlignment="1">
      <alignment horizontal="center" vertical="center"/>
    </xf>
    <xf numFmtId="0" fontId="34" fillId="0" borderId="85" xfId="6" applyFont="1" applyBorder="1" applyAlignment="1">
      <alignment wrapText="1"/>
    </xf>
    <xf numFmtId="0" fontId="61" fillId="27" borderId="76" xfId="6" applyFont="1" applyFill="1" applyBorder="1" applyAlignment="1">
      <alignment horizontal="center"/>
    </xf>
    <xf numFmtId="0" fontId="61" fillId="27" borderId="77" xfId="6" applyFont="1" applyFill="1" applyBorder="1" applyAlignment="1">
      <alignment horizontal="center"/>
    </xf>
    <xf numFmtId="0" fontId="34" fillId="0" borderId="77" xfId="6" applyFont="1" applyBorder="1" applyAlignment="1">
      <alignment wrapText="1"/>
    </xf>
    <xf numFmtId="0" fontId="62" fillId="29" borderId="87" xfId="6" applyFont="1" applyFill="1" applyBorder="1" applyAlignment="1">
      <alignment horizontal="center"/>
    </xf>
    <xf numFmtId="0" fontId="62" fillId="29" borderId="74" xfId="6" applyFont="1" applyFill="1" applyBorder="1" applyAlignment="1">
      <alignment horizontal="center"/>
    </xf>
    <xf numFmtId="0" fontId="62" fillId="29" borderId="76" xfId="6" applyFont="1" applyFill="1" applyBorder="1" applyAlignment="1">
      <alignment horizontal="center"/>
    </xf>
    <xf numFmtId="0" fontId="62" fillId="29" borderId="77" xfId="6" applyFont="1" applyFill="1" applyBorder="1" applyAlignment="1">
      <alignment horizontal="center"/>
    </xf>
    <xf numFmtId="4" fontId="51" fillId="22" borderId="76" xfId="9" applyNumberFormat="1" applyFont="1" applyFill="1" applyBorder="1" applyAlignment="1">
      <alignment horizontal="left"/>
    </xf>
    <xf numFmtId="4" fontId="51" fillId="22" borderId="77" xfId="9" applyNumberFormat="1" applyFont="1" applyFill="1" applyBorder="1" applyAlignment="1">
      <alignment horizontal="left"/>
    </xf>
    <xf numFmtId="4" fontId="51" fillId="22" borderId="78" xfId="9" applyNumberFormat="1" applyFont="1" applyFill="1" applyBorder="1" applyAlignment="1">
      <alignment horizontal="left"/>
    </xf>
    <xf numFmtId="0" fontId="50" fillId="21" borderId="76" xfId="9" applyFont="1" applyFill="1" applyBorder="1"/>
    <xf numFmtId="0" fontId="50" fillId="21" borderId="78" xfId="9" applyFont="1" applyFill="1" applyBorder="1"/>
    <xf numFmtId="0" fontId="48" fillId="0" borderId="0" xfId="9" applyFont="1" applyAlignment="1">
      <alignment horizontal="center"/>
    </xf>
    <xf numFmtId="0" fontId="49" fillId="20" borderId="74" xfId="9" applyFont="1" applyFill="1" applyBorder="1" applyAlignment="1">
      <alignment horizontal="center"/>
    </xf>
    <xf numFmtId="0" fontId="34" fillId="0" borderId="74" xfId="9" applyFont="1" applyBorder="1" applyAlignment="1">
      <alignment wrapText="1"/>
    </xf>
    <xf numFmtId="49" fontId="51" fillId="22" borderId="76" xfId="9" applyNumberFormat="1" applyFont="1" applyFill="1" applyBorder="1" applyAlignment="1">
      <alignment horizontal="center"/>
    </xf>
    <xf numFmtId="49" fontId="51" fillId="22" borderId="77" xfId="9" applyNumberFormat="1" applyFont="1" applyFill="1" applyBorder="1" applyAlignment="1">
      <alignment horizontal="center"/>
    </xf>
    <xf numFmtId="49" fontId="51" fillId="22" borderId="78" xfId="9" applyNumberFormat="1" applyFont="1" applyFill="1" applyBorder="1" applyAlignment="1">
      <alignment horizontal="center"/>
    </xf>
    <xf numFmtId="0" fontId="52" fillId="21" borderId="76" xfId="9" applyFont="1" applyFill="1" applyBorder="1" applyAlignment="1">
      <alignment horizontal="center"/>
    </xf>
    <xf numFmtId="0" fontId="52" fillId="21" borderId="77" xfId="9" applyFont="1" applyFill="1" applyBorder="1" applyAlignment="1">
      <alignment horizontal="center"/>
    </xf>
    <xf numFmtId="0" fontId="52" fillId="21" borderId="78" xfId="9" applyFont="1" applyFill="1" applyBorder="1" applyAlignment="1">
      <alignment horizontal="center"/>
    </xf>
    <xf numFmtId="0" fontId="53" fillId="23" borderId="76" xfId="9" applyFont="1" applyFill="1" applyBorder="1" applyAlignment="1">
      <alignment horizontal="center"/>
    </xf>
    <xf numFmtId="0" fontId="53" fillId="23" borderId="78" xfId="9" applyFont="1" applyFill="1" applyBorder="1" applyAlignment="1">
      <alignment horizontal="center"/>
    </xf>
    <xf numFmtId="180" fontId="51" fillId="22" borderId="76" xfId="9" applyNumberFormat="1" applyFont="1" applyFill="1" applyBorder="1" applyAlignment="1">
      <alignment horizontal="center"/>
    </xf>
    <xf numFmtId="180" fontId="51" fillId="22" borderId="77" xfId="9" applyNumberFormat="1" applyFont="1" applyFill="1" applyBorder="1" applyAlignment="1">
      <alignment horizontal="center"/>
    </xf>
    <xf numFmtId="180" fontId="51" fillId="22" borderId="78" xfId="9" applyNumberFormat="1" applyFont="1" applyFill="1" applyBorder="1" applyAlignment="1">
      <alignment horizontal="center"/>
    </xf>
    <xf numFmtId="181" fontId="51" fillId="22" borderId="76" xfId="9" applyNumberFormat="1" applyFont="1" applyFill="1" applyBorder="1" applyAlignment="1">
      <alignment horizontal="left"/>
    </xf>
    <xf numFmtId="181" fontId="51" fillId="22" borderId="77" xfId="9" applyNumberFormat="1" applyFont="1" applyFill="1" applyBorder="1" applyAlignment="1">
      <alignment horizontal="left"/>
    </xf>
    <xf numFmtId="181" fontId="51" fillId="22" borderId="78" xfId="9" applyNumberFormat="1" applyFont="1" applyFill="1" applyBorder="1" applyAlignment="1">
      <alignment horizontal="left"/>
    </xf>
    <xf numFmtId="3" fontId="50" fillId="21" borderId="76" xfId="9" applyNumberFormat="1" applyFont="1" applyFill="1" applyBorder="1" applyAlignment="1">
      <alignment horizontal="center"/>
    </xf>
    <xf numFmtId="3" fontId="50" fillId="21" borderId="77" xfId="9" applyNumberFormat="1" applyFont="1" applyFill="1" applyBorder="1" applyAlignment="1">
      <alignment horizontal="center"/>
    </xf>
    <xf numFmtId="3" fontId="50" fillId="21" borderId="78" xfId="9" applyNumberFormat="1" applyFont="1" applyFill="1" applyBorder="1" applyAlignment="1">
      <alignment horizontal="center"/>
    </xf>
    <xf numFmtId="3" fontId="51" fillId="22" borderId="76" xfId="9" applyNumberFormat="1" applyFont="1" applyFill="1" applyBorder="1" applyAlignment="1">
      <alignment horizontal="center"/>
    </xf>
    <xf numFmtId="3" fontId="51" fillId="22" borderId="77" xfId="9" applyNumberFormat="1" applyFont="1" applyFill="1" applyBorder="1" applyAlignment="1">
      <alignment horizontal="center"/>
    </xf>
    <xf numFmtId="3" fontId="51" fillId="22" borderId="78" xfId="9" applyNumberFormat="1" applyFont="1" applyFill="1" applyBorder="1" applyAlignment="1">
      <alignment horizontal="center"/>
    </xf>
    <xf numFmtId="3" fontId="50" fillId="24" borderId="76" xfId="9" applyNumberFormat="1" applyFont="1" applyFill="1" applyBorder="1" applyAlignment="1">
      <alignment horizontal="center"/>
    </xf>
    <xf numFmtId="3" fontId="50" fillId="24" borderId="78" xfId="9" applyNumberFormat="1" applyFont="1" applyFill="1" applyBorder="1" applyAlignment="1">
      <alignment horizontal="center"/>
    </xf>
    <xf numFmtId="0" fontId="52" fillId="21" borderId="0" xfId="9" applyFont="1" applyFill="1" applyAlignment="1">
      <alignment horizontal="center" vertical="center"/>
    </xf>
    <xf numFmtId="0" fontId="52" fillId="21" borderId="79" xfId="9" applyFont="1" applyFill="1" applyBorder="1" applyAlignment="1">
      <alignment horizontal="center" vertical="center"/>
    </xf>
    <xf numFmtId="0" fontId="58" fillId="21" borderId="80" xfId="9" applyFont="1" applyFill="1" applyBorder="1" applyAlignment="1">
      <alignment horizontal="center"/>
    </xf>
    <xf numFmtId="0" fontId="58" fillId="21" borderId="77" xfId="9" applyFont="1" applyFill="1" applyBorder="1" applyAlignment="1">
      <alignment horizontal="center"/>
    </xf>
    <xf numFmtId="0" fontId="58" fillId="21" borderId="81" xfId="9" applyFont="1" applyFill="1" applyBorder="1" applyAlignment="1">
      <alignment horizontal="center"/>
    </xf>
    <xf numFmtId="49" fontId="59" fillId="26" borderId="82" xfId="9" applyNumberFormat="1" applyFont="1" applyFill="1" applyBorder="1" applyAlignment="1">
      <alignment horizontal="center" vertical="center"/>
    </xf>
    <xf numFmtId="0" fontId="34" fillId="0" borderId="85" xfId="9" applyFont="1" applyBorder="1" applyAlignment="1">
      <alignment wrapText="1"/>
    </xf>
    <xf numFmtId="0" fontId="61" fillId="27" borderId="76" xfId="9" applyFont="1" applyFill="1" applyBorder="1" applyAlignment="1">
      <alignment horizontal="center"/>
    </xf>
    <xf numFmtId="0" fontId="61" fillId="27" borderId="77" xfId="9" applyFont="1" applyFill="1" applyBorder="1" applyAlignment="1">
      <alignment horizontal="center"/>
    </xf>
    <xf numFmtId="0" fontId="34" fillId="0" borderId="77" xfId="9" applyFont="1" applyBorder="1" applyAlignment="1">
      <alignment wrapText="1"/>
    </xf>
    <xf numFmtId="0" fontId="62" fillId="29" borderId="87" xfId="9" applyFont="1" applyFill="1" applyBorder="1" applyAlignment="1">
      <alignment horizontal="center"/>
    </xf>
    <xf numFmtId="0" fontId="62" fillId="29" borderId="74" xfId="9" applyFont="1" applyFill="1" applyBorder="1" applyAlignment="1">
      <alignment horizontal="center"/>
    </xf>
    <xf numFmtId="0" fontId="63" fillId="30" borderId="87" xfId="9" applyFont="1" applyFill="1" applyBorder="1" applyAlignment="1">
      <alignment horizontal="center"/>
    </xf>
    <xf numFmtId="0" fontId="63" fillId="30" borderId="74" xfId="9" applyFont="1" applyFill="1" applyBorder="1" applyAlignment="1">
      <alignment horizontal="center"/>
    </xf>
    <xf numFmtId="0" fontId="63" fillId="30" borderId="89" xfId="9" applyFont="1" applyFill="1" applyBorder="1" applyAlignment="1">
      <alignment horizontal="center"/>
    </xf>
    <xf numFmtId="0" fontId="62" fillId="29" borderId="76" xfId="9" applyFont="1" applyFill="1" applyBorder="1" applyAlignment="1">
      <alignment horizontal="center"/>
    </xf>
    <xf numFmtId="0" fontId="62" fillId="29" borderId="77" xfId="9" applyFont="1" applyFill="1" applyBorder="1" applyAlignment="1">
      <alignment horizontal="center"/>
    </xf>
    <xf numFmtId="0" fontId="82" fillId="0" borderId="0" xfId="0" applyFont="1" applyAlignment="1">
      <alignment horizontal="center" vertical="center"/>
    </xf>
    <xf numFmtId="0" fontId="87" fillId="38" borderId="0" xfId="0" applyFont="1" applyFill="1" applyAlignment="1">
      <alignment horizontal="left" vertical="top"/>
    </xf>
    <xf numFmtId="0" fontId="85" fillId="33" borderId="0" xfId="0" applyFont="1" applyFill="1" applyAlignment="1">
      <alignment horizontal="right" vertical="center"/>
    </xf>
    <xf numFmtId="0" fontId="86" fillId="33" borderId="0" xfId="0" applyFont="1" applyFill="1" applyAlignment="1">
      <alignment horizontal="left" vertical="center" indent="1"/>
    </xf>
    <xf numFmtId="0" fontId="85" fillId="16" borderId="0" xfId="0" applyFont="1" applyFill="1" applyAlignment="1">
      <alignment horizontal="right" vertical="center"/>
    </xf>
    <xf numFmtId="0" fontId="86" fillId="16" borderId="0" xfId="0" applyFont="1" applyFill="1" applyAlignment="1">
      <alignment horizontal="left" vertical="center" indent="1"/>
    </xf>
    <xf numFmtId="0" fontId="86" fillId="38" borderId="0" xfId="0" applyFont="1" applyFill="1" applyAlignment="1">
      <alignment horizontal="left" vertical="center" indent="1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top" wrapText="1" readingOrder="1"/>
    </xf>
    <xf numFmtId="0" fontId="89" fillId="0" borderId="0" xfId="0" applyFont="1" applyAlignment="1">
      <alignment horizontal="left" vertical="center" wrapText="1" indent="5" readingOrder="1"/>
    </xf>
    <xf numFmtId="0" fontId="82" fillId="0" borderId="0" xfId="0" applyFont="1" applyAlignment="1">
      <alignment horizontal="center" vertical="center" wrapText="1"/>
    </xf>
    <xf numFmtId="0" fontId="87" fillId="33" borderId="0" xfId="0" applyFont="1" applyFill="1" applyAlignment="1">
      <alignment horizontal="left" vertical="top"/>
    </xf>
    <xf numFmtId="0" fontId="87" fillId="16" borderId="0" xfId="0" applyFont="1" applyFill="1" applyAlignment="1">
      <alignment horizontal="left" vertical="top"/>
    </xf>
    <xf numFmtId="0" fontId="83" fillId="0" borderId="0" xfId="0" applyFont="1" applyAlignment="1">
      <alignment horizontal="center" vertical="center" wrapText="1"/>
    </xf>
    <xf numFmtId="0" fontId="87" fillId="33" borderId="0" xfId="0" applyFont="1" applyFill="1" applyAlignment="1">
      <alignment horizontal="center" vertical="center"/>
    </xf>
    <xf numFmtId="0" fontId="87" fillId="18" borderId="0" xfId="0" applyFont="1" applyFill="1" applyAlignment="1">
      <alignment horizontal="center" vertical="top"/>
    </xf>
    <xf numFmtId="0" fontId="85" fillId="38" borderId="0" xfId="0" applyFont="1" applyFill="1" applyAlignment="1">
      <alignment horizontal="right" vertical="center"/>
    </xf>
    <xf numFmtId="0" fontId="92" fillId="0" borderId="0" xfId="0" applyFont="1" applyAlignment="1">
      <alignment horizontal="left" vertical="center" wrapText="1" indent="5" readingOrder="1"/>
    </xf>
    <xf numFmtId="0" fontId="92" fillId="0" borderId="0" xfId="0" applyFont="1" applyAlignment="1">
      <alignment horizontal="left" vertical="top" wrapText="1" readingOrder="1"/>
    </xf>
    <xf numFmtId="0" fontId="93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97" fillId="0" borderId="21" xfId="0" applyFont="1" applyBorder="1" applyAlignment="1">
      <alignment horizontal="center" vertical="center"/>
    </xf>
    <xf numFmtId="0" fontId="97" fillId="0" borderId="47" xfId="0" applyFont="1" applyBorder="1" applyAlignment="1">
      <alignment horizontal="center" vertical="center"/>
    </xf>
    <xf numFmtId="0" fontId="87" fillId="16" borderId="0" xfId="0" applyFont="1" applyFill="1" applyAlignment="1">
      <alignment horizontal="center" vertical="center"/>
    </xf>
    <xf numFmtId="0" fontId="82" fillId="0" borderId="4" xfId="0" applyFont="1" applyBorder="1" applyAlignment="1">
      <alignment horizontal="center" vertical="center"/>
    </xf>
    <xf numFmtId="0" fontId="82" fillId="0" borderId="9" xfId="0" applyFont="1" applyBorder="1" applyAlignment="1">
      <alignment horizontal="center" vertical="center"/>
    </xf>
    <xf numFmtId="0" fontId="87" fillId="38" borderId="0" xfId="0" applyFont="1" applyFill="1" applyAlignment="1">
      <alignment horizontal="center" vertical="center"/>
    </xf>
    <xf numFmtId="0" fontId="82" fillId="0" borderId="0" xfId="0" applyFont="1">
      <alignment vertical="center"/>
    </xf>
    <xf numFmtId="173" fontId="25" fillId="11" borderId="38" xfId="0" applyNumberFormat="1" applyFont="1" applyFill="1" applyBorder="1" applyAlignment="1" applyProtection="1">
      <alignment horizontal="center" vertical="center"/>
      <protection locked="0"/>
    </xf>
    <xf numFmtId="173" fontId="25" fillId="9" borderId="38" xfId="0" applyNumberFormat="1" applyFont="1" applyFill="1" applyBorder="1" applyAlignment="1" applyProtection="1">
      <alignment horizontal="center" vertical="center"/>
      <protection locked="0"/>
    </xf>
    <xf numFmtId="0" fontId="21" fillId="9" borderId="0" xfId="0" applyFont="1" applyFill="1" applyAlignment="1" applyProtection="1">
      <alignment horizontal="center" vertical="center"/>
      <protection locked="0"/>
    </xf>
    <xf numFmtId="0" fontId="23" fillId="9" borderId="5" xfId="0" applyFont="1" applyFill="1" applyBorder="1" applyAlignment="1" applyProtection="1">
      <alignment horizontal="center" vertical="center"/>
      <protection locked="0"/>
    </xf>
    <xf numFmtId="179" fontId="25" fillId="17" borderId="72" xfId="0" applyNumberFormat="1" applyFont="1" applyFill="1" applyBorder="1" applyAlignment="1" applyProtection="1">
      <alignment horizontal="center" vertical="center"/>
      <protection locked="0"/>
    </xf>
    <xf numFmtId="179" fontId="25" fillId="17" borderId="73" xfId="0" applyNumberFormat="1" applyFont="1" applyFill="1" applyBorder="1" applyAlignment="1" applyProtection="1">
      <alignment horizontal="center" vertical="center"/>
      <protection locked="0"/>
    </xf>
    <xf numFmtId="179" fontId="25" fillId="18" borderId="72" xfId="0" applyNumberFormat="1" applyFont="1" applyFill="1" applyBorder="1" applyAlignment="1" applyProtection="1">
      <alignment horizontal="center" vertical="center"/>
      <protection locked="0"/>
    </xf>
    <xf numFmtId="179" fontId="25" fillId="18" borderId="73" xfId="0" applyNumberFormat="1" applyFont="1" applyFill="1" applyBorder="1" applyAlignment="1" applyProtection="1">
      <alignment horizontal="center" vertical="center"/>
      <protection locked="0"/>
    </xf>
    <xf numFmtId="173" fontId="25" fillId="10" borderId="38" xfId="0" applyNumberFormat="1" applyFont="1" applyFill="1" applyBorder="1" applyAlignment="1" applyProtection="1">
      <alignment horizontal="center" vertical="center" wrapText="1"/>
      <protection locked="0"/>
    </xf>
    <xf numFmtId="173" fontId="25" fillId="10" borderId="38" xfId="0" applyNumberFormat="1" applyFont="1" applyFill="1" applyBorder="1" applyAlignment="1" applyProtection="1">
      <alignment horizontal="center" vertical="center"/>
      <protection locked="0"/>
    </xf>
    <xf numFmtId="0" fontId="23" fillId="9" borderId="3" xfId="0" applyFont="1" applyFill="1" applyBorder="1" applyAlignment="1" applyProtection="1">
      <alignment horizontal="center" vertical="center"/>
      <protection locked="0"/>
    </xf>
    <xf numFmtId="173" fontId="25" fillId="9" borderId="38" xfId="0" applyNumberFormat="1" applyFont="1" applyFill="1" applyBorder="1" applyAlignment="1" applyProtection="1">
      <alignment horizontal="center" vertical="center" wrapText="1"/>
      <protection locked="0"/>
    </xf>
    <xf numFmtId="0" fontId="0" fillId="18" borderId="51" xfId="0" applyFill="1" applyBorder="1" applyAlignment="1">
      <alignment horizontal="center" wrapText="1"/>
    </xf>
    <xf numFmtId="0" fontId="0" fillId="18" borderId="26" xfId="0" applyFill="1" applyBorder="1" applyAlignment="1">
      <alignment horizontal="center" wrapText="1"/>
    </xf>
    <xf numFmtId="10" fontId="0" fillId="18" borderId="70" xfId="12" applyNumberFormat="1" applyFont="1" applyFill="1" applyBorder="1" applyAlignment="1">
      <alignment wrapText="1"/>
    </xf>
    <xf numFmtId="180" fontId="50" fillId="28" borderId="96" xfId="0" applyNumberFormat="1" applyFont="1" applyFill="1" applyBorder="1" applyAlignment="1"/>
    <xf numFmtId="0" fontId="67" fillId="20" borderId="38" xfId="0" applyFont="1" applyFill="1" applyBorder="1" applyAlignment="1">
      <alignment horizontal="center"/>
    </xf>
  </cellXfs>
  <cellStyles count="19">
    <cellStyle name="20% - Accent5" xfId="17" builtinId="46"/>
    <cellStyle name="40% - Accent6" xfId="18" builtinId="51"/>
    <cellStyle name="Comma" xfId="16" builtinId="3"/>
    <cellStyle name="Currency" xfId="1" builtinId="4"/>
    <cellStyle name="Currency 2" xfId="11" xr:uid="{00000000-0005-0000-0000-000003000000}"/>
    <cellStyle name="Explanatory Text" xfId="2" builtinId="53" customBuiltin="1"/>
    <cellStyle name="Input" xfId="14" builtinId="20"/>
    <cellStyle name="Milliers 2" xfId="4" xr:uid="{00000000-0005-0000-0000-000006000000}"/>
    <cellStyle name="Monétaire 2" xfId="7" xr:uid="{00000000-0005-0000-0000-000007000000}"/>
    <cellStyle name="Normal" xfId="0" builtinId="0"/>
    <cellStyle name="Normal 2" xfId="3" xr:uid="{00000000-0005-0000-0000-000009000000}"/>
    <cellStyle name="Normal 3" xfId="5" xr:uid="{00000000-0005-0000-0000-00000A000000}"/>
    <cellStyle name="Normal 4" xfId="6" xr:uid="{00000000-0005-0000-0000-00000B000000}"/>
    <cellStyle name="Normal 5" xfId="9" xr:uid="{00000000-0005-0000-0000-00000C000000}"/>
    <cellStyle name="Normal 6" xfId="10" xr:uid="{00000000-0005-0000-0000-00000D000000}"/>
    <cellStyle name="Normal 7" xfId="13" xr:uid="{00000000-0005-0000-0000-00000E000000}"/>
    <cellStyle name="Normal 8" xfId="15" xr:uid="{00000000-0005-0000-0000-00000F000000}"/>
    <cellStyle name="Percent" xfId="12" builtinId="5"/>
    <cellStyle name="Pourcentage 2" xfId="8" xr:uid="{00000000-0005-0000-0000-000011000000}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>
          <bgColor theme="6" tint="0.79998168889431442"/>
        </patternFill>
      </fill>
    </dxf>
    <dxf>
      <numFmt numFmtId="191" formatCode="dd\-mmm"/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91" formatCode="dd\-mmm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>
          <bgColor theme="6" tint="0.79998168889431442"/>
        </patternFill>
      </fill>
    </dxf>
    <dxf>
      <numFmt numFmtId="191" formatCode="dd\-mmm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B7E1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DF3"/>
      <rgbColor rgb="FFCCFFCC"/>
      <rgbColor rgb="FFFCE4D3"/>
      <rgbColor rgb="FF99CCFF"/>
      <rgbColor rgb="FFFF99CC"/>
      <rgbColor rgb="FFFFCCCC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pivotCacheDefinition" Target="pivotCache/pivotCacheDefinition1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56" Type="http://schemas.openxmlformats.org/officeDocument/2006/relationships/sheetMetadata" Target="metadata.xml"/><Relationship Id="rId8" Type="http://schemas.openxmlformats.org/officeDocument/2006/relationships/worksheet" Target="worksheets/sheet8.xml"/><Relationship Id="rId51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Relationship Id="rId57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pivotCacheDefinition" Target="pivotCache/pivotCacheDefinition3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Répartition des charges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63500" sx="102000" sy="102000" algn="ctr" rotWithShape="0">
              <a:prstClr val="black">
                <a:alpha val="20000"/>
              </a:prstClr>
            </a:outerShdw>
          </a:effectLst>
        </c:spPr>
        <c:marker>
          <c:spPr>
            <a:solidFill>
              <a:schemeClr val="accent1"/>
            </a:solidFill>
            <a:ln w="9525">
              <a:solidFill>
                <a:schemeClr val="lt1"/>
              </a:solidFill>
            </a:ln>
            <a:effectLst/>
          </c:spPr>
        </c:marker>
        <c:dLbl>
          <c:idx val="0"/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63500" sx="102000" sy="102000" algn="ctr" rotWithShape="0">
              <a:prstClr val="black">
                <a:alpha val="20000"/>
              </a:prstClr>
            </a:outerShdw>
          </a:effectLst>
        </c:spPr>
        <c:marker>
          <c:spPr>
            <a:solidFill>
              <a:schemeClr val="accent1"/>
            </a:solidFill>
            <a:ln w="9525">
              <a:solidFill>
                <a:schemeClr val="lt1"/>
              </a:solidFill>
            </a:ln>
            <a:effectLst/>
          </c:spPr>
        </c:marker>
        <c:dLbl>
          <c:idx val="0"/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635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</c:pivotFmt>
      <c:pivotFmt>
        <c:idx val="6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0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v>Sum of Charges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83DF-43C6-AA60-D907E32C08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3DF-43C6-AA60-D907E32C08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83DF-43C6-AA60-D907E32C08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3DF-43C6-AA60-D907E32C08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83DF-43C6-AA60-D907E32C08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3DF-43C6-AA60-D907E32C08B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83DF-43C6-AA60-D907E32C08B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3DF-43C6-AA60-D907E32C08B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83DF-43C6-AA60-D907E32C08B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3DF-43C6-AA60-D907E32C08B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83DF-43C6-AA60-D907E32C08B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3DF-43C6-AA60-D907E32C08B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Adhésions enfants</c:v>
              </c:pt>
              <c:pt idx="1">
                <c:v>Alimentaire</c:v>
              </c:pt>
              <c:pt idx="2">
                <c:v>Entretien</c:v>
              </c:pt>
              <c:pt idx="3">
                <c:v>Essence</c:v>
              </c:pt>
              <c:pt idx="4">
                <c:v>Foulards</c:v>
              </c:pt>
              <c:pt idx="5">
                <c:v>Hébergement</c:v>
              </c:pt>
              <c:pt idx="6">
                <c:v>Matériel</c:v>
              </c:pt>
              <c:pt idx="7">
                <c:v>Participation camp</c:v>
              </c:pt>
              <c:pt idx="8">
                <c:v>Pharmacie</c:v>
              </c:pt>
              <c:pt idx="9">
                <c:v>Produit annexe</c:v>
              </c:pt>
              <c:pt idx="10">
                <c:v>Salaire</c:v>
              </c:pt>
              <c:pt idx="11">
                <c:v>Transport</c:v>
              </c:pt>
            </c:strLit>
          </c:cat>
          <c:val>
            <c:numLit>
              <c:formatCode>General</c:formatCode>
              <c:ptCount val="12"/>
              <c:pt idx="0">
                <c:v>372</c:v>
              </c:pt>
              <c:pt idx="1">
                <c:v>1025.99</c:v>
              </c:pt>
              <c:pt idx="2">
                <c:v>25.2</c:v>
              </c:pt>
              <c:pt idx="3">
                <c:v>97.42</c:v>
              </c:pt>
              <c:pt idx="4">
                <c:v>70</c:v>
              </c:pt>
              <c:pt idx="5">
                <c:v>840</c:v>
              </c:pt>
              <c:pt idx="6">
                <c:v>44.7</c:v>
              </c:pt>
              <c:pt idx="7">
                <c:v>200</c:v>
              </c:pt>
              <c:pt idx="8">
                <c:v>82.37</c:v>
              </c:pt>
              <c:pt idx="9">
                <c:v>0</c:v>
              </c:pt>
              <c:pt idx="10">
                <c:v>1099.1300000000001</c:v>
              </c:pt>
              <c:pt idx="11">
                <c:v>110</c:v>
              </c:pt>
            </c:numLit>
          </c:val>
          <c:extLst>
            <c:ext xmlns:c16="http://schemas.microsoft.com/office/drawing/2014/chart" uri="{C3380CC4-5D6E-409C-BE32-E72D297353CC}">
              <c16:uniqueId val="{00000000-83DF-43C6-AA60-D907E32C08BE}"/>
            </c:ext>
          </c:extLst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38BC-4B25-9482-82CDDD5219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38BC-4B25-9482-82CDDD5219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38BC-4B25-9482-82CDDD52195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38BC-4B25-9482-82CDDD52195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38BC-4B25-9482-82CDDD52195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38BC-4B25-9482-82CDDD52195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38BC-4B25-9482-82CDDD52195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38BC-4B25-9482-82CDDD52195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38BC-4B25-9482-82CDDD52195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38BC-4B25-9482-82CDDD52195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38BC-4B25-9482-82CDDD52195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38BC-4B25-9482-82CDDD521955}"/>
              </c:ext>
            </c:extLst>
          </c:dPt>
          <c:dLbls>
            <c:delete val="1"/>
          </c:dLbls>
          <c:cat>
            <c:strLit>
              <c:ptCount val="12"/>
              <c:pt idx="0">
                <c:v>Adhésions enfants</c:v>
              </c:pt>
              <c:pt idx="1">
                <c:v>Alimentaire</c:v>
              </c:pt>
              <c:pt idx="2">
                <c:v>Entretien</c:v>
              </c:pt>
              <c:pt idx="3">
                <c:v>Essence</c:v>
              </c:pt>
              <c:pt idx="4">
                <c:v>Foulards</c:v>
              </c:pt>
              <c:pt idx="5">
                <c:v>Hébergement</c:v>
              </c:pt>
              <c:pt idx="6">
                <c:v>Matériel</c:v>
              </c:pt>
              <c:pt idx="7">
                <c:v>Participation camp</c:v>
              </c:pt>
              <c:pt idx="8">
                <c:v>Pharmacie</c:v>
              </c:pt>
              <c:pt idx="9">
                <c:v>Produit annexe</c:v>
              </c:pt>
              <c:pt idx="10">
                <c:v>Salaire</c:v>
              </c:pt>
              <c:pt idx="11">
                <c:v>Transport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4395</c:v>
              </c:pt>
              <c:pt idx="8">
                <c:v>0</c:v>
              </c:pt>
              <c:pt idx="9">
                <c:v>10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3DF-43C6-AA60-D907E32C08BE}"/>
            </c:ext>
          </c:extLst>
        </c:ser>
        <c:ser>
          <c:idx val="2"/>
          <c:order val="2"/>
          <c:tx>
            <c:v>Series3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0-83DF-43C6-AA60-D907E32C08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3DF-43C6-AA60-D907E32C08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2-83DF-43C6-AA60-D907E32C08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83DF-43C6-AA60-D907E32C08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4-83DF-43C6-AA60-D907E32C08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83DF-43C6-AA60-D907E32C08B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6-83DF-43C6-AA60-D907E32C08B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83DF-43C6-AA60-D907E32C08B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8-83DF-43C6-AA60-D907E32C08B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83DF-43C6-AA60-D907E32C08B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A-83DF-43C6-AA60-D907E32C08B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83DF-43C6-AA60-D907E32C08B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Adhésions enfants</c:v>
              </c:pt>
              <c:pt idx="1">
                <c:v>Alimentaire</c:v>
              </c:pt>
              <c:pt idx="2">
                <c:v>Entretien</c:v>
              </c:pt>
              <c:pt idx="3">
                <c:v>Essence</c:v>
              </c:pt>
              <c:pt idx="4">
                <c:v>Foulards</c:v>
              </c:pt>
              <c:pt idx="5">
                <c:v>Hébergement</c:v>
              </c:pt>
              <c:pt idx="6">
                <c:v>Matériel</c:v>
              </c:pt>
              <c:pt idx="7">
                <c:v>Participation camp</c:v>
              </c:pt>
              <c:pt idx="8">
                <c:v>Pharmacie</c:v>
              </c:pt>
              <c:pt idx="9">
                <c:v>Produit annexe</c:v>
              </c:pt>
              <c:pt idx="10">
                <c:v>Salaire</c:v>
              </c:pt>
              <c:pt idx="11">
                <c:v>Transport</c:v>
              </c:pt>
            </c:strLit>
          </c:cat>
          <c:val>
            <c:numLit>
              <c:formatCode>General</c:formatCode>
              <c:ptCount val="12"/>
              <c:pt idx="0">
                <c:v>-372</c:v>
              </c:pt>
              <c:pt idx="1">
                <c:v>-1025.99</c:v>
              </c:pt>
              <c:pt idx="2">
                <c:v>-25.2</c:v>
              </c:pt>
              <c:pt idx="3">
                <c:v>-97.42</c:v>
              </c:pt>
              <c:pt idx="4">
                <c:v>-70</c:v>
              </c:pt>
              <c:pt idx="5">
                <c:v>-840</c:v>
              </c:pt>
              <c:pt idx="6">
                <c:v>-44.7</c:v>
              </c:pt>
              <c:pt idx="7">
                <c:v>4195</c:v>
              </c:pt>
              <c:pt idx="8">
                <c:v>-82.37</c:v>
              </c:pt>
              <c:pt idx="9">
                <c:v>10</c:v>
              </c:pt>
              <c:pt idx="10">
                <c:v>-1099.1300000000001</c:v>
              </c:pt>
              <c:pt idx="11">
                <c:v>-110</c:v>
              </c:pt>
            </c:numLit>
          </c:val>
          <c:extLst>
            <c:ext xmlns:c16="http://schemas.microsoft.com/office/drawing/2014/chart" uri="{C3380CC4-5D6E-409C-BE32-E72D297353CC}">
              <c16:uniqueId val="{00000003-83DF-43C6-AA60-D907E32C08B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76320</xdr:colOff>
      <xdr:row>0</xdr:row>
      <xdr:rowOff>123840</xdr:rowOff>
    </xdr:from>
    <xdr:to>
      <xdr:col>10</xdr:col>
      <xdr:colOff>990000</xdr:colOff>
      <xdr:row>2</xdr:row>
      <xdr:rowOff>278575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7063560" y="123840"/>
          <a:ext cx="913680" cy="92304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789006</xdr:colOff>
      <xdr:row>170</xdr:row>
      <xdr:rowOff>11230</xdr:rowOff>
    </xdr:from>
    <xdr:to>
      <xdr:col>21</xdr:col>
      <xdr:colOff>51644</xdr:colOff>
      <xdr:row>184</xdr:row>
      <xdr:rowOff>129090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m573/Desktop/EEDF/Herbi/Outil%20comptable%20Herbi%202021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m573/Desktop/EEDF/R&#233;gion%20GRAND%20EST/Tr&#233;sorerie/2023/Facture%202023/Adh&#233;sions%20pour%20facturation%20MS%20AD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ères"/>
      <sheetName val="Menu"/>
      <sheetName val="trésorerie"/>
      <sheetName val="Analytique"/>
      <sheetName val="Balancedegestion"/>
      <sheetName val="CompteRendu"/>
      <sheetName val="Valorisationbénévolat"/>
      <sheetName val="Bilan"/>
      <sheetName val="Linéaire"/>
      <sheetName val="Feuill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Sheet"/>
    </sheetNames>
    <sheetDataSet>
      <sheetData sheetId="0">
        <row r="3">
          <cell r="D3" t="str">
            <v>Étiquettes de lignes</v>
          </cell>
          <cell r="E3" t="str">
            <v>Janvier</v>
          </cell>
          <cell r="F3" t="str">
            <v>Novembre</v>
          </cell>
        </row>
        <row r="4">
          <cell r="D4" t="str">
            <v>FREYMING MERLEBACH-St F. d' A</v>
          </cell>
          <cell r="E4">
            <v>21</v>
          </cell>
          <cell r="F4">
            <v>21</v>
          </cell>
        </row>
        <row r="5">
          <cell r="D5" t="str">
            <v>GOLBEY</v>
          </cell>
          <cell r="E5">
            <v>3</v>
          </cell>
          <cell r="F5">
            <v>1</v>
          </cell>
        </row>
        <row r="6">
          <cell r="D6" t="str">
            <v>GRAND NANCY</v>
          </cell>
          <cell r="E6">
            <v>20</v>
          </cell>
          <cell r="F6">
            <v>10</v>
          </cell>
        </row>
        <row r="7">
          <cell r="D7" t="str">
            <v>GUEBWILLER - SCOUTS DU FLORIVAL</v>
          </cell>
          <cell r="E7">
            <v>25</v>
          </cell>
          <cell r="F7">
            <v>24</v>
          </cell>
        </row>
        <row r="8">
          <cell r="D8" t="str">
            <v>JEAN MOULIN - LESSY</v>
          </cell>
          <cell r="E8">
            <v>17</v>
          </cell>
          <cell r="F8">
            <v>15</v>
          </cell>
        </row>
        <row r="9">
          <cell r="D9" t="str">
            <v>METZ VISA  - AVENTURES</v>
          </cell>
          <cell r="E9">
            <v>43</v>
          </cell>
          <cell r="F9">
            <v>41</v>
          </cell>
        </row>
        <row r="10">
          <cell r="D10" t="str">
            <v>MULHOUSE</v>
          </cell>
          <cell r="E10">
            <v>45</v>
          </cell>
          <cell r="F10">
            <v>44</v>
          </cell>
        </row>
        <row r="11">
          <cell r="D11" t="str">
            <v>PLAPPEVILLE</v>
          </cell>
          <cell r="E11">
            <v>15</v>
          </cell>
          <cell r="F11">
            <v>13</v>
          </cell>
        </row>
        <row r="12">
          <cell r="D12" t="str">
            <v>SAINTE SAVINE</v>
          </cell>
          <cell r="E12">
            <v>15</v>
          </cell>
          <cell r="F12">
            <v>12</v>
          </cell>
        </row>
        <row r="13">
          <cell r="D13" t="str">
            <v>ST JEAN DE BONNEVAL</v>
          </cell>
          <cell r="E13">
            <v>8</v>
          </cell>
          <cell r="F13">
            <v>8</v>
          </cell>
        </row>
        <row r="14">
          <cell r="D14" t="str">
            <v>STRASBOURG</v>
          </cell>
          <cell r="E14">
            <v>42</v>
          </cell>
          <cell r="F14">
            <v>36</v>
          </cell>
        </row>
        <row r="15">
          <cell r="D15" t="str">
            <v>TROYES - CASATI</v>
          </cell>
          <cell r="E15">
            <v>24</v>
          </cell>
          <cell r="F15">
            <v>24</v>
          </cell>
        </row>
        <row r="16">
          <cell r="D16" t="str">
            <v>VIGY</v>
          </cell>
          <cell r="E16">
            <v>34</v>
          </cell>
          <cell r="F16">
            <v>33</v>
          </cell>
        </row>
        <row r="17">
          <cell r="D17" t="str">
            <v>(vide)</v>
          </cell>
        </row>
        <row r="18">
          <cell r="D18" t="str">
            <v>Total général</v>
          </cell>
          <cell r="E18">
            <v>312</v>
          </cell>
          <cell r="F18">
            <v>282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EEDF - Les Tronches" id="{42041028-F628-41E8-929F-45B5960E2EB8}" userId="EEDF - Les Tronches" providerId="None"/>
  <person displayName="EEDF - Pierre MULLER" id="{14E1B290-BCCF-49FD-B487-32A26D9E571A}" userId="S::pierre.muller@eedf.fr::73e06205-e510-48b5-aa21-d8e22b2955c0" providerId="AD"/>
  <person displayName="Utilisateur invité" id="{87D40F39-1CBD-41F8-B4E6-D8C540CCEA33}" userId="S::urn:spo:anon#6b318e7bbf5a697091da414f7401c47f9429e3acd880f04291fbac65dccd41fb::" providerId="AD"/>
</personList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MULLER/Downloads/r&#233;gio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m573/Downloads/Adh&#233;sions-10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uller, Pierre" refreshedDate="45412.669180439814" createdVersion="6" refreshedVersion="6" minRefreshableVersion="3" recordCount="89" xr:uid="{00000000-000A-0000-FFFF-FFFF03000000}">
  <cacheSource type="worksheet">
    <worksheetSource name="Table1" r:id="rId2"/>
  </cacheSource>
  <cacheFields count="9">
    <cacheField name="Exercice" numFmtId="0">
      <sharedItems containsString="0" containsBlank="1" containsNumber="1" containsInteger="1" minValue="2023" maxValue="2024" count="3">
        <n v="2024"/>
        <n v="2023"/>
        <m/>
      </sharedItems>
    </cacheField>
    <cacheField name="Date" numFmtId="16">
      <sharedItems containsNonDate="0" containsDate="1" containsString="0" containsBlank="1" minDate="2024-01-02T00:00:00" maxDate="2024-04-30T00:00:00"/>
    </cacheField>
    <cacheField name="Compte/caisse/CHQ" numFmtId="0">
      <sharedItems containsBlank="1"/>
    </cacheField>
    <cacheField name="Montant" numFmtId="0">
      <sharedItems containsString="0" containsBlank="1" containsNumber="1" minValue="-2000" maxValue="6050"/>
    </cacheField>
    <cacheField name="Tiers" numFmtId="0">
      <sharedItems containsBlank="1"/>
    </cacheField>
    <cacheField name="Type" numFmtId="0">
      <sharedItems containsBlank="1"/>
    </cacheField>
    <cacheField name="projet" numFmtId="0">
      <sharedItems containsBlank="1" count="20">
        <s v="Activité Guebwiller"/>
        <s v="Equipe régionale"/>
        <s v="Vie asso"/>
        <s v="Camion"/>
        <s v="Permanence"/>
        <s v="Fonctionnement"/>
        <s v="Congrès"/>
        <s v="BAFA Base avril"/>
        <s v="BAFA Base avril 23"/>
        <s v="reste 2023"/>
        <s v="RIR"/>
        <s v="MS AD"/>
        <s v="visite camps"/>
        <s v="Activité SLA"/>
        <s v="Tremplin camp"/>
        <m/>
        <s v="Loyer permanence" u="1"/>
        <s v="BAFA" u="1"/>
        <s v="Faire split " u="1"/>
        <s v="?" u="1"/>
      </sharedItems>
    </cacheField>
    <cacheField name="Détail" numFmtId="0">
      <sharedItems containsBlank="1"/>
    </cacheField>
    <cacheField name="A reverser" numFmtId="0">
      <sharedItems containsBlank="1" count="3">
        <s v="OUI"/>
        <s v="NON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erre" refreshedDate="45535.699248032404" createdVersion="8" refreshedVersion="8" minRefreshableVersion="3" recordCount="399" xr:uid="{00000000-000A-0000-FFFF-FFFF04000000}">
  <cacheSource type="worksheet">
    <worksheetSource name="Tableau1" r:id="rId2"/>
  </cacheSource>
  <cacheFields count="33">
    <cacheField name="Nom d'usage" numFmtId="0">
      <sharedItems containsBlank="1"/>
    </cacheField>
    <cacheField name="Prénom" numFmtId="0">
      <sharedItems containsBlank="1"/>
    </cacheField>
    <cacheField name="Nom de famille" numFmtId="0">
      <sharedItems containsBlank="1"/>
    </cacheField>
    <cacheField name="Surnom" numFmtId="0">
      <sharedItems containsBlank="1"/>
    </cacheField>
    <cacheField name="Genre" numFmtId="0">
      <sharedItems containsBlank="1"/>
    </cacheField>
    <cacheField name="Email" numFmtId="0">
      <sharedItems containsBlank="1"/>
    </cacheField>
    <cacheField name="Tél. fixe" numFmtId="0">
      <sharedItems containsBlank="1"/>
    </cacheField>
    <cacheField name="Tél. mobile" numFmtId="0">
      <sharedItems containsBlank="1"/>
    </cacheField>
    <cacheField name="Adresse ligne 1" numFmtId="0">
      <sharedItems containsBlank="1"/>
    </cacheField>
    <cacheField name="Adresse ligne 2" numFmtId="0">
      <sharedItems containsBlank="1"/>
    </cacheField>
    <cacheField name="Adresse ligne 3" numFmtId="0">
      <sharedItems containsNonDate="0" containsString="0" containsBlank="1"/>
    </cacheField>
    <cacheField name="Code postal" numFmtId="0">
      <sharedItems containsBlank="1"/>
    </cacheField>
    <cacheField name="Ville" numFmtId="0">
      <sharedItems containsBlank="1"/>
    </cacheField>
    <cacheField name="Pays" numFmtId="0">
      <sharedItems containsBlank="1"/>
    </cacheField>
    <cacheField name="Date de naissance" numFmtId="14">
      <sharedItems containsNonDate="0" containsDate="1" containsString="0" containsBlank="1" minDate="2005-09-22T00:00:00" maxDate="2018-04-30T00:00:00"/>
    </cacheField>
    <cacheField name="Age" numFmtId="1">
      <sharedItems containsString="0" containsBlank="1" containsNumber="1" containsInteger="1" minValue="6" maxValue="18"/>
    </cacheField>
    <cacheField name="Lieu de naissance" numFmtId="0">
      <sharedItems containsBlank="1"/>
    </cacheField>
    <cacheField name="Profession" numFmtId="0">
      <sharedItems containsBlank="1"/>
    </cacheField>
    <cacheField name="Droit à l'image" numFmtId="0">
      <sharedItems containsBlank="1"/>
    </cacheField>
    <cacheField name="Numéro" numFmtId="0">
      <sharedItems containsBlank="1"/>
    </cacheField>
    <cacheField name="Statut" numFmtId="0">
      <sharedItems containsBlank="1"/>
    </cacheField>
    <cacheField name="Autorisation légale" numFmtId="0">
      <sharedItems containsBlank="1"/>
    </cacheField>
    <cacheField name="Nom resp. légal 1" numFmtId="0">
      <sharedItems containsBlank="1"/>
    </cacheField>
    <cacheField name="Prénom2" numFmtId="0">
      <sharedItems containsBlank="1"/>
    </cacheField>
    <cacheField name="Email3" numFmtId="0">
      <sharedItems containsBlank="1"/>
    </cacheField>
    <cacheField name="Tél. fixe4" numFmtId="0">
      <sharedItems containsBlank="1"/>
    </cacheField>
    <cacheField name="Tél. mobile5" numFmtId="0">
      <sharedItems containsBlank="1"/>
    </cacheField>
    <cacheField name="Nom resp. légal 2" numFmtId="0">
      <sharedItems containsBlank="1"/>
    </cacheField>
    <cacheField name="Prénom6" numFmtId="0">
      <sharedItems containsBlank="1"/>
    </cacheField>
    <cacheField name="Email7" numFmtId="0">
      <sharedItems containsBlank="1"/>
    </cacheField>
    <cacheField name="Tarif" numFmtId="0">
      <sharedItems containsBlank="1" count="11">
        <s v="1er enfant QF &lt; 10 777 €"/>
        <s v="1er enfant QF &gt; 32 147 €"/>
        <s v="1er enfant QF de 10 777 à 17 992 €"/>
        <s v="1er enfant QF de 17 993 à 28 563 €"/>
        <s v="1er enfant QF de 28 564 à 32 147 €"/>
        <s v="Enfants suivants QF &lt; 10 777 €"/>
        <s v="Enfants suivants QF &gt; 32 147 €"/>
        <s v="Enfants suivants QF de 10 777 à 17 992 €"/>
        <s v="Enfants suivants QF de 17 993 à 28 563 €"/>
        <s v="Enfants suivants QF de 28 564 à 32 147 €"/>
        <m/>
      </sharedItems>
    </cacheField>
    <cacheField name="Structure" numFmtId="0">
      <sharedItems containsBlank="1" count="14">
        <s v="GUEBWILLER - SCOUTS DU FLORIVAL"/>
        <s v="STRASBOURG"/>
        <s v="TROYES - CASATI"/>
        <s v="GOLBEY"/>
        <s v="JEAN MOULIN - LESSY"/>
        <s v="PLAPPEVILLE"/>
        <s v="METZ VISA  - AVENTURES"/>
        <s v="ST JEAN DE BONNEVAL"/>
        <s v="SAINTE SAVINE"/>
        <s v="FREYMING MERLEBACH-St F. d' A"/>
        <s v="MULHOUSE"/>
        <s v="VIGY"/>
        <s v="GRAND NANCY"/>
        <m/>
      </sharedItems>
    </cacheField>
    <cacheField name="Rég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erre MULLER" refreshedDate="45666.572269791664" createdVersion="8" refreshedVersion="8" minRefreshableVersion="3" recordCount="55" xr:uid="{00000000-000A-0000-FFFF-FFFF0C000000}">
  <cacheSource type="worksheet">
    <worksheetSource name="BP"/>
  </cacheSource>
  <cacheFields count="18">
    <cacheField name="Exercice" numFmtId="0">
      <sharedItems containsString="0" containsBlank="1" containsNumber="1" containsInteger="1" minValue="2025" maxValue="2025"/>
    </cacheField>
    <cacheField name="N°" numFmtId="0">
      <sharedItems containsString="0" containsBlank="1" containsNumber="1" containsInteger="1" minValue="5" maxValue="116"/>
    </cacheField>
    <cacheField name="Date" numFmtId="0">
      <sharedItems containsNonDate="0" containsString="0" containsBlank="1"/>
    </cacheField>
    <cacheField name="Compte/caisse/CHQ" numFmtId="0">
      <sharedItems containsNonDate="0" containsString="0" containsBlank="1"/>
    </cacheField>
    <cacheField name="Montant" numFmtId="170">
      <sharedItems containsString="0" containsBlank="1" containsNumber="1" minValue="-20250" maxValue="36950"/>
    </cacheField>
    <cacheField name="Colonne1" numFmtId="0">
      <sharedItems containsNonDate="0" containsString="0" containsBlank="1"/>
    </cacheField>
    <cacheField name="Description" numFmtId="0">
      <sharedItems containsBlank="1" count="87">
        <s v="Adhésion COJEP"/>
        <s v="Adhésions"/>
        <s v="Hébergement"/>
        <s v="Alimentaire"/>
        <s v="Bourse régionale"/>
        <s v="Péda"/>
        <s v="Participation stagiaire"/>
        <s v="Cotisation CB"/>
        <s v="Assurance"/>
        <s v="Entretien"/>
        <s v="Location"/>
        <s v="Transport"/>
        <s v="Participation activité"/>
        <s v="Contribution 2024"/>
        <s v="Location immo."/>
        <s v="Subvention"/>
        <s v="Matériel"/>
        <s v="Matériel pédagogique"/>
        <s v="Petit Matériel"/>
        <s v="Location véhicule"/>
        <s v="Carburants"/>
        <s v="Gaz"/>
        <s v="Pharmacetique"/>
        <s v="Participation"/>
        <s v="Participation équipiers"/>
        <m/>
        <s v="Autre" u="1"/>
        <s v="Produit annexe" u="1"/>
        <s v="Adhésion" u="1"/>
        <s v="Forfait tel" u="1"/>
        <s v="PSO Metz" u="1"/>
        <s v="MS AD" u="1"/>
        <s v="PSO Plappeville" u="1"/>
        <s v="NdF envoi Cap éclé" u="1"/>
        <s v="Petit matériel / Entretien" u="1"/>
        <s v="Déplacement AG" u="1"/>
        <s v="Loc camping car" u="1"/>
        <s v="Carburant camping car" u="1"/>
        <s v="PSO Lessy" u="1"/>
        <s v="Participation CN" u="1"/>
        <s v="PSO Vigy" u="1"/>
        <s v="Contribution 2023" u="1"/>
        <s v="Frais de récupération" u="1"/>
        <s v="PSO Freyming" u="1"/>
        <s v="PSO" u="1"/>
        <s v="Participation camp" u="1"/>
        <s v="A confirmer ? Acte 129298 conseil municipal metz" u="1"/>
        <s v="Participation AG" u="1"/>
        <s v="Adhésions enfants" u="1"/>
        <s v="Salaire" u="1"/>
        <s v="Aide au groupe" u="1"/>
        <s v="Pharmacie" u="1"/>
        <s v="Essence" u="1"/>
        <s v="Foulards" u="1"/>
        <s v="Facturation de la masse salariale des AD 2023-24" u="1"/>
        <s v="A REGARDER - Charge sociale juillet ??" u="1"/>
        <s v="Aide interne" u="1"/>
        <s v="CB" u="1"/>
        <s v="15 aout" u="1"/>
        <s v="Adhésion COPJEP" u="1"/>
        <s v="Alimentaire rencontre ER" u="1"/>
        <s v="Utilisation du camion au 30 mai" u="1"/>
        <s v="Sangles et autres" u="1"/>
        <s v="NDF entretien camion" u="1"/>
        <s v="Utilisation camion - camp" u="1"/>
        <s v="Rbt avance de frais Action" u="1"/>
        <s v="location camion" u="1"/>
        <s v="note de frais Golbey" u="1"/>
        <s v="NDF essence golbey" u="1"/>
        <s v="camion" u="1"/>
        <s v="Dons" u="1"/>
        <s v="Note de frais RIR" u="1"/>
        <s v="Transport participants" u="1"/>
        <s v="Participation congrès" u="1"/>
        <s v="Remboursement trop perçu" u="1"/>
        <s v="Location lieu" u="1"/>
        <s v="Utilisation 9 Place - camp" u="1"/>
        <s v="17 aout" u="1"/>
        <s v="Tisanes et autres" u="1"/>
        <s v="Subvention FDVA 2" u="1"/>
        <s v="???" u="1"/>
        <s v="Essence 9 places" u="1"/>
        <s v="Subvention FDVA 1" u="1"/>
        <s v="Garage" u="1"/>
        <s v="Réparation" u="1"/>
        <s v="NDF entretien - plaquette arrière" u="1"/>
        <s v="Carburant" u="1"/>
      </sharedItems>
    </cacheField>
    <cacheField name="Analytique 0" numFmtId="0">
      <sharedItems containsBlank="1" count="4">
        <s v="Fonctionnement"/>
        <s v="Pédagogie"/>
        <s v="Vie de la région"/>
        <m/>
      </sharedItems>
    </cacheField>
    <cacheField name="Analytique 1" numFmtId="0">
      <sharedItems containsBlank="1" count="15">
        <s v="Frais généraux"/>
        <s v="Frais associatifs"/>
        <s v="Formations"/>
        <s v="Véhicules"/>
        <s v="Vie associative"/>
        <s v="Petit Bivouac"/>
        <s v="Activités des SLA"/>
        <m/>
        <s v="Permanence" u="1"/>
        <s v="Formation" u="1"/>
        <s v="Exercice précédent" u="1"/>
        <s v="Véhicule" u="1"/>
        <s v="Fonctionnement" u="1"/>
        <s v="RIR" u="1"/>
        <s v="Camps" u="1"/>
      </sharedItems>
    </cacheField>
    <cacheField name="projet" numFmtId="0">
      <sharedItems containsBlank="1" count="39">
        <s v="Adhésion autres association"/>
        <s v="Adhésions"/>
        <s v="BAFA Appro octobre"/>
        <s v="BAFA Base avril"/>
        <s v="Banque"/>
        <s v="Camion"/>
        <s v="Congrès régional"/>
        <s v="Contribution 2024"/>
        <s v="Equipe régionale"/>
        <s v="Permanence"/>
        <s v="Petit Bivouac "/>
        <s v="Grand Bivouac"/>
        <s v="Suivi groupes et visites"/>
        <s v="Tremplin année - octobre"/>
        <s v="Tremplin camp - Avril"/>
        <s v="Véhicule Golbey"/>
        <m/>
        <s v="Petit Bivouac - Camp 1" u="1"/>
        <s v="Petit Bivouac - Camp 2" u="1"/>
        <s v="Activité Guebwiller" u="1"/>
        <s v="Vie asso" u="1"/>
        <s v="Téléphonie" u="1"/>
        <s v="BAFA Base avril 23" u="1"/>
        <s v="reste 2023" u="1"/>
        <s v="Fonctionnement" u="1"/>
        <s v="RIR 2023" u="1"/>
        <s v="PSO" u="1"/>
        <s v="MS AD" u="1"/>
        <s v="visite camps" u="1"/>
        <s v="Autre" u="1"/>
        <s v="RIR" u="1"/>
        <s v="Assemblée Générale" u="1"/>
        <s v="CN" u="1"/>
        <s v="Contribution 2023" u="1"/>
        <s v="Camp ouvert" u="1"/>
        <s v="Activité Golbey" u="1"/>
        <s v="Vie nationale" u="1"/>
        <s v="???" u="1"/>
        <s v="ER" u="1"/>
      </sharedItems>
    </cacheField>
    <cacheField name="Détail" numFmtId="0">
      <sharedItems containsBlank="1"/>
    </cacheField>
    <cacheField name="A reverser" numFmtId="0">
      <sharedItems containsBlank="1" count="5">
        <s v="NON"/>
        <m/>
        <s v="OUI" u="1"/>
        <s v="OK" u="1"/>
        <s v="???" u="1"/>
      </sharedItems>
    </cacheField>
    <cacheField name="Compta" numFmtId="0">
      <sharedItems containsBlank="1"/>
    </cacheField>
    <cacheField name="Produits" numFmtId="0">
      <sharedItems containsSemiMixedTypes="0" containsString="0" containsNumber="1" containsInteger="1" minValue="0" maxValue="36950"/>
    </cacheField>
    <cacheField name="Charges" numFmtId="0">
      <sharedItems containsSemiMixedTypes="0" containsString="0" containsNumber="1" minValue="0" maxValue="20250"/>
    </cacheField>
    <cacheField name="Column1" numFmtId="0">
      <sharedItems containsBlank="1" containsMixedTypes="1" containsNumber="1" containsInteger="1" minValue="0" maxValue="0"/>
    </cacheField>
    <cacheField name="Check1" numFmtId="0">
      <sharedItems/>
    </cacheField>
    <cacheField name="check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">
  <r>
    <x v="0"/>
    <d v="2024-01-02T00:00:00"/>
    <s v="BRED - LA"/>
    <n v="749"/>
    <s v="Guebwiller"/>
    <s v="Participation activité"/>
    <x v="0"/>
    <s v="A reverser vers la SLA"/>
    <x v="0"/>
  </r>
  <r>
    <x v="0"/>
    <d v="2024-01-02T00:00:00"/>
    <s v="BRED - LA"/>
    <n v="194.02"/>
    <s v="EEDF Guebwiller"/>
    <s v="Participation activité"/>
    <x v="0"/>
    <s v="A reverser vers la SLA"/>
    <x v="0"/>
  </r>
  <r>
    <x v="1"/>
    <d v="2024-01-02T00:00:00"/>
    <s v="BRED-Moselle"/>
    <n v="24.3"/>
    <s v="Inès H."/>
    <s v="Produit annexe"/>
    <x v="1"/>
    <s v="Rachat course ER"/>
    <x v="1"/>
  </r>
  <r>
    <x v="1"/>
    <d v="2024-01-02T00:00:00"/>
    <s v="BRED-Moselle"/>
    <n v="50"/>
    <s v="Inès H."/>
    <s v="Adhésion"/>
    <x v="2"/>
    <m/>
    <x v="1"/>
  </r>
  <r>
    <x v="0"/>
    <d v="2024-01-12T00:00:00"/>
    <s v="BRED - LA"/>
    <n v="75"/>
    <s v="Famille Gaire"/>
    <s v="Dons"/>
    <x v="3"/>
    <m/>
    <x v="1"/>
  </r>
  <r>
    <x v="0"/>
    <d v="2024-01-18T00:00:00"/>
    <s v="BRED - LA"/>
    <n v="170.99"/>
    <s v="EEDF Guebwiller"/>
    <s v="Participation activité"/>
    <x v="0"/>
    <s v="A reverser vers la SLA"/>
    <x v="0"/>
  </r>
  <r>
    <x v="0"/>
    <d v="2024-01-18T00:00:00"/>
    <s v="BRED - LA"/>
    <n v="185.23"/>
    <s v="EEDF Guebwiller"/>
    <s v="Participation activité"/>
    <x v="0"/>
    <s v="A reverser vers la SLA"/>
    <x v="0"/>
  </r>
  <r>
    <x v="0"/>
    <d v="2024-01-22T00:00:00"/>
    <s v="BRED - LA"/>
    <n v="-375"/>
    <s v="Mairie Metz"/>
    <s v="Location immo."/>
    <x v="4"/>
    <s v="Loyer"/>
    <x v="1"/>
  </r>
  <r>
    <x v="0"/>
    <d v="2024-01-24T00:00:00"/>
    <s v="BRED-Moselle"/>
    <n v="-2"/>
    <s v="FREE Mobile"/>
    <s v="Forfait tel"/>
    <x v="5"/>
    <s v="Forfait tel"/>
    <x v="1"/>
  </r>
  <r>
    <x v="0"/>
    <d v="2024-01-29T00:00:00"/>
    <s v="BRED - LA"/>
    <n v="129"/>
    <s v="EEDF Vigy"/>
    <s v="location camion"/>
    <x v="3"/>
    <m/>
    <x v="1"/>
  </r>
  <r>
    <x v="0"/>
    <d v="2024-02-10T00:00:00"/>
    <s v="BRED - LA"/>
    <n v="-551.08000000000004"/>
    <s v="Véronique J."/>
    <s v="Alimentaire"/>
    <x v="6"/>
    <s v="Ndf alimentaire Véro"/>
    <x v="1"/>
  </r>
  <r>
    <x v="0"/>
    <d v="2024-02-10T00:00:00"/>
    <s v="BRED-Moselle"/>
    <n v="-37.44"/>
    <s v="Giuseppe G."/>
    <s v="Alimentaire"/>
    <x v="6"/>
    <s v="Avance congrès"/>
    <x v="1"/>
  </r>
  <r>
    <x v="0"/>
    <d v="2024-02-10T00:00:00"/>
    <s v="BRED-Moselle"/>
    <n v="-263.60000000000002"/>
    <s v="EEDF Strasbourg"/>
    <s v="Transport"/>
    <x v="6"/>
    <m/>
    <x v="1"/>
  </r>
  <r>
    <x v="0"/>
    <d v="2024-02-10T00:00:00"/>
    <s v="BRED-Moselle"/>
    <n v="-131.36000000000001"/>
    <s v="EEDF METZ"/>
    <s v="Transport"/>
    <x v="6"/>
    <m/>
    <x v="1"/>
  </r>
  <r>
    <x v="0"/>
    <d v="2024-02-10T00:00:00"/>
    <s v="BRED-Moselle"/>
    <n v="-25"/>
    <s v="CHEZ ISABELLE"/>
    <s v="Alimentaire"/>
    <x v="6"/>
    <s v="Pain congrès"/>
    <x v="1"/>
  </r>
  <r>
    <x v="0"/>
    <d v="2024-02-10T00:00:00"/>
    <s v="BRED-Moselle"/>
    <n v="-107.51"/>
    <s v="Célia G."/>
    <s v="Transport"/>
    <x v="6"/>
    <m/>
    <x v="1"/>
  </r>
  <r>
    <x v="0"/>
    <d v="2024-02-12T00:00:00"/>
    <s v="BRED - LA"/>
    <n v="-360"/>
    <s v="Mairie Metz"/>
    <s v="Location immo."/>
    <x v="4"/>
    <s v="Loyer"/>
    <x v="1"/>
  </r>
  <r>
    <x v="0"/>
    <d v="2024-02-14T00:00:00"/>
    <s v="BRED - LA"/>
    <n v="535"/>
    <s v="YVINEC Yann"/>
    <s v="Participation activité"/>
    <x v="7"/>
    <s v="BAFA Alicia Caruso Dont 35 € adhésion"/>
    <x v="1"/>
  </r>
  <r>
    <x v="1"/>
    <d v="2024-02-14T00:00:00"/>
    <s v="BRED - LA"/>
    <n v="200"/>
    <s v="Melie M."/>
    <s v="Participation activité"/>
    <x v="8"/>
    <m/>
    <x v="1"/>
  </r>
  <r>
    <x v="0"/>
    <d v="2024-02-14T00:00:00"/>
    <s v="BRED - LA"/>
    <n v="12.2"/>
    <s v="X"/>
    <s v="Produit annexe"/>
    <x v="6"/>
    <s v="Dépot liquide - Buvette congrès"/>
    <x v="1"/>
  </r>
  <r>
    <x v="0"/>
    <d v="2024-02-14T00:00:00"/>
    <s v="BRED - LA"/>
    <n v="60"/>
    <s v="X"/>
    <s v="Produit annexe"/>
    <x v="6"/>
    <s v="Dépot liquide - Buvette congrès"/>
    <x v="1"/>
  </r>
  <r>
    <x v="1"/>
    <d v="2024-02-14T00:00:00"/>
    <s v="BRED - LA"/>
    <n v="-1003.01"/>
    <s v="EEDF Les Tronches"/>
    <s v="Location immo."/>
    <x v="9"/>
    <s v="reste 2023"/>
    <x v="1"/>
  </r>
  <r>
    <x v="0"/>
    <d v="2024-02-27T00:00:00"/>
    <s v="BRED-Moselle"/>
    <n v="-2"/>
    <s v="FREE Mobile"/>
    <s v="Forfait tel"/>
    <x v="5"/>
    <s v="Forfait tel"/>
    <x v="1"/>
  </r>
  <r>
    <x v="1"/>
    <d v="2024-02-29T00:00:00"/>
    <s v="BRED - LA"/>
    <n v="1498"/>
    <s v="Siege"/>
    <s v="Subvention"/>
    <x v="10"/>
    <m/>
    <x v="1"/>
  </r>
  <r>
    <x v="0"/>
    <d v="2024-03-07T00:00:00"/>
    <s v="BRED-Moselle"/>
    <n v="-695.65"/>
    <s v="MAIF"/>
    <s v="Assurance"/>
    <x v="3"/>
    <m/>
    <x v="1"/>
  </r>
  <r>
    <x v="0"/>
    <d v="2024-03-07T00:00:00"/>
    <s v="BRED-Moselle"/>
    <n v="-354.23"/>
    <s v="MAIF"/>
    <s v="Assurance"/>
    <x v="4"/>
    <m/>
    <x v="1"/>
  </r>
  <r>
    <x v="0"/>
    <d v="2024-03-07T00:00:00"/>
    <s v="BRED-Moselle"/>
    <n v="-185.23"/>
    <s v="MAIF"/>
    <s v="Assurance"/>
    <x v="0"/>
    <s v="A reverser vers la SLA"/>
    <x v="0"/>
  </r>
  <r>
    <x v="1"/>
    <d v="2024-03-07T00:00:00"/>
    <s v="BRED-Moselle"/>
    <n v="-65"/>
    <s v="Thomas G."/>
    <s v="Réparation"/>
    <x v="3"/>
    <s v="Contrôle technique"/>
    <x v="1"/>
  </r>
  <r>
    <x v="0"/>
    <d v="2024-03-16T00:00:00"/>
    <s v="BRED - LA"/>
    <n v="154.19999999999999"/>
    <s v="EEDF METZ"/>
    <s v="camion"/>
    <x v="3"/>
    <m/>
    <x v="1"/>
  </r>
  <r>
    <x v="0"/>
    <d v="2024-03-16T00:00:00"/>
    <s v="BRED - LA"/>
    <n v="177.54"/>
    <s v="EEDF Vigy"/>
    <s v="Participation activité"/>
    <x v="6"/>
    <m/>
    <x v="1"/>
  </r>
  <r>
    <x v="0"/>
    <d v="2024-03-16T00:00:00"/>
    <s v="BRED - LA"/>
    <n v="366.92"/>
    <s v="EEDF TROYES"/>
    <s v="Participation activité"/>
    <x v="6"/>
    <m/>
    <x v="1"/>
  </r>
  <r>
    <x v="0"/>
    <d v="2024-03-16T00:00:00"/>
    <s v="BRED - LA"/>
    <n v="106.53"/>
    <s v="EEDF Strasbourg"/>
    <s v="Participation activité"/>
    <x v="6"/>
    <m/>
    <x v="1"/>
  </r>
  <r>
    <x v="0"/>
    <d v="2024-03-16T00:00:00"/>
    <s v="BRED - LA"/>
    <n v="-129.22999999999999"/>
    <s v="EEDF Plappeville"/>
    <s v="Déplacement"/>
    <x v="6"/>
    <m/>
    <x v="1"/>
  </r>
  <r>
    <x v="0"/>
    <d v="2024-03-16T00:00:00"/>
    <s v="BRED - LA"/>
    <n v="94.69"/>
    <s v="EEDF Plappeville"/>
    <s v="Participation activité"/>
    <x v="6"/>
    <m/>
    <x v="1"/>
  </r>
  <r>
    <x v="0"/>
    <d v="2024-03-16T00:00:00"/>
    <s v="BRED - LA"/>
    <n v="153.87"/>
    <s v="EEDF MULHOUSE"/>
    <s v="Participation activité"/>
    <x v="6"/>
    <m/>
    <x v="1"/>
  </r>
  <r>
    <x v="0"/>
    <d v="2024-03-16T00:00:00"/>
    <s v="BRED - LA"/>
    <n v="213.05"/>
    <s v="EEDF METZ"/>
    <s v="Participation activité"/>
    <x v="6"/>
    <m/>
    <x v="1"/>
  </r>
  <r>
    <x v="0"/>
    <d v="2024-03-16T00:00:00"/>
    <s v="BRED - LA"/>
    <n v="71.02"/>
    <s v="EEDF Ludothèque"/>
    <s v="Participation activité"/>
    <x v="6"/>
    <m/>
    <x v="1"/>
  </r>
  <r>
    <x v="0"/>
    <d v="2024-03-16T00:00:00"/>
    <s v="BRED - LA"/>
    <n v="153.87"/>
    <s v="EEDF LESSY"/>
    <s v="Participation activité"/>
    <x v="6"/>
    <m/>
    <x v="1"/>
  </r>
  <r>
    <x v="0"/>
    <d v="2024-03-16T00:00:00"/>
    <s v="BRED - LA"/>
    <n v="189.38"/>
    <s v="EEDF Les Tronches"/>
    <s v="Participation activité"/>
    <x v="6"/>
    <m/>
    <x v="1"/>
  </r>
  <r>
    <x v="0"/>
    <d v="2024-03-16T00:00:00"/>
    <s v="BRED - LA"/>
    <n v="35.51"/>
    <s v="EEDF Herbitzheim"/>
    <s v="Participation activité"/>
    <x v="6"/>
    <m/>
    <x v="1"/>
  </r>
  <r>
    <x v="0"/>
    <d v="2024-03-16T00:00:00"/>
    <s v="BRED - LA"/>
    <n v="142.03"/>
    <s v="EEDF Guebwiller"/>
    <s v="Participation activité"/>
    <x v="6"/>
    <m/>
    <x v="1"/>
  </r>
  <r>
    <x v="0"/>
    <d v="2024-03-16T00:00:00"/>
    <s v="BRED - LA"/>
    <n v="165.71"/>
    <s v="EEDF FREYMING"/>
    <s v="Participation activité"/>
    <x v="6"/>
    <m/>
    <x v="1"/>
  </r>
  <r>
    <x v="0"/>
    <d v="2024-03-16T00:00:00"/>
    <s v="BRED-Moselle"/>
    <n v="23.67"/>
    <s v="EEDF Colmar"/>
    <s v="Participation activité"/>
    <x v="6"/>
    <m/>
    <x v="1"/>
  </r>
  <r>
    <x v="0"/>
    <d v="2024-03-16T00:00:00"/>
    <s v="BRED - LA"/>
    <n v="59.18"/>
    <s v="EEDF Balnot"/>
    <s v="Participation activité"/>
    <x v="6"/>
    <m/>
    <x v="1"/>
  </r>
  <r>
    <x v="0"/>
    <d v="2024-03-16T00:00:00"/>
    <s v="BRED - LA"/>
    <n v="20"/>
    <s v="Mulhouse"/>
    <s v="Salaires"/>
    <x v="11"/>
    <m/>
    <x v="1"/>
  </r>
  <r>
    <x v="0"/>
    <d v="2024-03-16T00:00:00"/>
    <s v="BRED - LA"/>
    <n v="20"/>
    <s v="EEDF Vigy"/>
    <s v="Salaires"/>
    <x v="11"/>
    <m/>
    <x v="1"/>
  </r>
  <r>
    <x v="0"/>
    <d v="2024-03-16T00:00:00"/>
    <s v="BRED - LA"/>
    <n v="60"/>
    <s v="EEDF TROYES"/>
    <s v="Salaires"/>
    <x v="11"/>
    <m/>
    <x v="1"/>
  </r>
  <r>
    <x v="0"/>
    <d v="2024-03-16T00:00:00"/>
    <s v="BRED - LA"/>
    <n v="120"/>
    <s v="EEDF Strasbourg"/>
    <s v="Salaires"/>
    <x v="11"/>
    <m/>
    <x v="1"/>
  </r>
  <r>
    <x v="0"/>
    <d v="2024-03-16T00:00:00"/>
    <s v="BRED - LA"/>
    <n v="40"/>
    <s v="EEDF Plappeville"/>
    <s v="Salaires"/>
    <x v="11"/>
    <m/>
    <x v="1"/>
  </r>
  <r>
    <x v="0"/>
    <d v="2024-03-16T00:00:00"/>
    <s v="BRED - LA"/>
    <n v="200"/>
    <s v="EEDF Nancy"/>
    <s v="Salaires"/>
    <x v="11"/>
    <m/>
    <x v="1"/>
  </r>
  <r>
    <x v="0"/>
    <d v="2024-03-16T00:00:00"/>
    <s v="BRED - LA"/>
    <n v="40"/>
    <s v="EEDF METZ"/>
    <s v="Salaires"/>
    <x v="11"/>
    <m/>
    <x v="1"/>
  </r>
  <r>
    <x v="0"/>
    <d v="2024-03-16T00:00:00"/>
    <s v="BRED - LA"/>
    <n v="40"/>
    <s v="EEDF LESSY"/>
    <s v="Salaires"/>
    <x v="11"/>
    <m/>
    <x v="1"/>
  </r>
  <r>
    <x v="0"/>
    <d v="2024-03-16T00:00:00"/>
    <s v="BRED - LA"/>
    <n v="20"/>
    <s v="EEDF Guebwiller"/>
    <s v="Salaires"/>
    <x v="11"/>
    <m/>
    <x v="1"/>
  </r>
  <r>
    <x v="0"/>
    <d v="2024-03-16T00:00:00"/>
    <s v="BRED-Moselle"/>
    <n v="-25.7"/>
    <s v="Célia G."/>
    <s v="Transport"/>
    <x v="12"/>
    <s v="Note de frais transport - visite de camp - péage"/>
    <x v="1"/>
  </r>
  <r>
    <x v="0"/>
    <d v="2024-03-16T00:00:00"/>
    <s v="BRED-Moselle"/>
    <n v="-141.33000000000001"/>
    <s v="Célia G."/>
    <s v="Transport"/>
    <x v="12"/>
    <s v="Note de frais transport - visite de camp - frais KM"/>
    <x v="1"/>
  </r>
  <r>
    <x v="0"/>
    <d v="2024-03-18T00:00:00"/>
    <s v="BRED-Moselle"/>
    <n v="452.32"/>
    <s v="CAF Moselle"/>
    <s v="PSO"/>
    <x v="13"/>
    <s v="A reverser vers la SLA"/>
    <x v="0"/>
  </r>
  <r>
    <x v="0"/>
    <d v="2024-03-19T00:00:00"/>
    <s v="BRED-Moselle"/>
    <n v="-129.22999999999999"/>
    <s v="EEDF Plappeville"/>
    <s v="Transport"/>
    <x v="6"/>
    <s v="Remboursé le 25/4"/>
    <x v="1"/>
  </r>
  <r>
    <x v="0"/>
    <d v="2024-03-25T00:00:00"/>
    <s v="BRED-Moselle"/>
    <n v="-2"/>
    <s v="FREE Mobile"/>
    <s v="Forfait tel"/>
    <x v="5"/>
    <s v="Forfait tel"/>
    <x v="1"/>
  </r>
  <r>
    <x v="0"/>
    <d v="2024-04-08T00:00:00"/>
    <s v="BRED - LA"/>
    <n v="-360"/>
    <s v="Marie Metz"/>
    <s v="Location immo."/>
    <x v="4"/>
    <s v="Loyer"/>
    <x v="1"/>
  </r>
  <r>
    <x v="0"/>
    <d v="2024-04-08T00:00:00"/>
    <s v="BRED - LA"/>
    <n v="-26.7"/>
    <s v="Satoriz"/>
    <s v="Alimentaire"/>
    <x v="14"/>
    <m/>
    <x v="1"/>
  </r>
  <r>
    <x v="0"/>
    <d v="2024-04-13T00:00:00"/>
    <s v="BRED - LA"/>
    <n v="-118.89"/>
    <s v="Véronique J."/>
    <s v="Alimentaire"/>
    <x v="14"/>
    <m/>
    <x v="1"/>
  </r>
  <r>
    <x v="0"/>
    <d v="2024-04-13T00:00:00"/>
    <s v="BRED - LA"/>
    <n v="-44.65"/>
    <s v="Chez isabelle"/>
    <s v="Alimentaire"/>
    <x v="14"/>
    <m/>
    <x v="1"/>
  </r>
  <r>
    <x v="0"/>
    <d v="2024-04-15T00:00:00"/>
    <s v="BRED - LA"/>
    <n v="-121.88"/>
    <s v="Super U"/>
    <s v="Alimentaire"/>
    <x v="14"/>
    <m/>
    <x v="1"/>
  </r>
  <r>
    <x v="0"/>
    <d v="2024-04-15T00:00:00"/>
    <s v="BRED - LA"/>
    <n v="-7.9"/>
    <s v="Satoriz"/>
    <s v="Alimentaire"/>
    <x v="14"/>
    <m/>
    <x v="1"/>
  </r>
  <r>
    <x v="0"/>
    <d v="2024-04-15T00:00:00"/>
    <s v="BRED - LA"/>
    <n v="-27"/>
    <s v="Cora"/>
    <s v="Alimentaire"/>
    <x v="14"/>
    <m/>
    <x v="1"/>
  </r>
  <r>
    <x v="0"/>
    <d v="2024-04-19T00:00:00"/>
    <s v="BRED - LA"/>
    <n v="-78.959999999999994"/>
    <s v="Giuseppe G"/>
    <s v="Transport"/>
    <x v="14"/>
    <m/>
    <x v="1"/>
  </r>
  <r>
    <x v="0"/>
    <d v="2024-04-19T00:00:00"/>
    <s v="BRED - LA"/>
    <n v="-219.45"/>
    <s v="Emmanuel F"/>
    <s v="Transport"/>
    <x v="14"/>
    <m/>
    <x v="1"/>
  </r>
  <r>
    <x v="0"/>
    <d v="2024-04-19T00:00:00"/>
    <s v="BRED - LA"/>
    <n v="-120.2"/>
    <s v="Cortesi Clara"/>
    <s v="Transport"/>
    <x v="14"/>
    <m/>
    <x v="1"/>
  </r>
  <r>
    <x v="0"/>
    <d v="2024-04-19T00:00:00"/>
    <s v="BRED - LA"/>
    <n v="-28.02"/>
    <s v="Cortesi Clara"/>
    <s v="Transport"/>
    <x v="14"/>
    <m/>
    <x v="1"/>
  </r>
  <r>
    <x v="0"/>
    <d v="2024-04-23T00:00:00"/>
    <s v="BRED - LA"/>
    <n v="-14.4"/>
    <s v="J-R Sindt"/>
    <s v="NdF envoi Cap éclé"/>
    <x v="5"/>
    <s v="A rembourser par le siege - Fait"/>
    <x v="0"/>
  </r>
  <r>
    <x v="0"/>
    <d v="2024-04-23T00:00:00"/>
    <s v="BRED - LA"/>
    <n v="-55.54"/>
    <s v="Tobias F."/>
    <s v="Transport"/>
    <x v="14"/>
    <m/>
    <x v="1"/>
  </r>
  <r>
    <x v="0"/>
    <d v="2024-04-24T00:00:00"/>
    <s v="BRED - LA"/>
    <n v="-77.31"/>
    <s v="EEDF METZ"/>
    <s v="Carburant"/>
    <x v="14"/>
    <m/>
    <x v="1"/>
  </r>
  <r>
    <x v="0"/>
    <d v="2024-04-25T00:00:00"/>
    <s v="BRED - LA"/>
    <n v="129.22999999999999"/>
    <s v="EEDF Plappeville"/>
    <s v="Transport"/>
    <x v="6"/>
    <s v="Rbt NDF transport payée en doublon"/>
    <x v="1"/>
  </r>
  <r>
    <x v="0"/>
    <d v="2024-04-29T00:00:00"/>
    <s v="BRED-Moselle"/>
    <n v="1733.13"/>
    <s v="CAF Moselle"/>
    <s v="PSO"/>
    <x v="13"/>
    <s v="A reverser vers la SLA"/>
    <x v="0"/>
  </r>
  <r>
    <x v="0"/>
    <d v="2024-04-25T00:00:00"/>
    <s v="BRED - LA"/>
    <n v="14.4"/>
    <s v="EEDF Siège"/>
    <s v="NdF envoi Cap éclé"/>
    <x v="5"/>
    <s v="A rembourser par le siege - Fait"/>
    <x v="0"/>
  </r>
  <r>
    <x v="0"/>
    <d v="2024-04-29T00:00:00"/>
    <s v="BRED - LA"/>
    <n v="-26.36"/>
    <s v="Satoriz"/>
    <s v="Alimentaire"/>
    <x v="7"/>
    <m/>
    <x v="1"/>
  </r>
  <r>
    <x v="0"/>
    <d v="2024-04-29T00:00:00"/>
    <s v="BRED - LA"/>
    <n v="-174"/>
    <s v="Scoutik"/>
    <s v="?"/>
    <x v="10"/>
    <m/>
    <x v="1"/>
  </r>
  <r>
    <x v="0"/>
    <d v="2024-04-26T00:00:00"/>
    <s v="METZ"/>
    <n v="-56.23"/>
    <s v="Action"/>
    <s v="Péda"/>
    <x v="7"/>
    <m/>
    <x v="1"/>
  </r>
  <r>
    <x v="0"/>
    <d v="2024-04-29T00:00:00"/>
    <s v="BRED - LA"/>
    <n v="-202.87"/>
    <s v="CORA"/>
    <s v="?"/>
    <x v="7"/>
    <m/>
    <x v="1"/>
  </r>
  <r>
    <x v="0"/>
    <d v="2024-04-29T00:00:00"/>
    <s v="BRED - LA"/>
    <n v="-41.22"/>
    <s v="CORA"/>
    <s v="?"/>
    <x v="7"/>
    <m/>
    <x v="1"/>
  </r>
  <r>
    <x v="0"/>
    <m/>
    <s v="Non payé-F en attente"/>
    <n v="-1000"/>
    <s v="EEDF Les Tronches"/>
    <s v="Hébergement"/>
    <x v="14"/>
    <m/>
    <x v="1"/>
  </r>
  <r>
    <x v="0"/>
    <m/>
    <s v="Non payé-F en attente"/>
    <n v="-800"/>
    <s v="EEDF Les Tronches"/>
    <s v="Hébergement"/>
    <x v="6"/>
    <m/>
    <x v="1"/>
  </r>
  <r>
    <x v="0"/>
    <m/>
    <s v="Non payé-F en attente"/>
    <n v="6050"/>
    <m/>
    <s v="Participation stagiaire"/>
    <x v="7"/>
    <m/>
    <x v="2"/>
  </r>
  <r>
    <x v="0"/>
    <m/>
    <s v="Non payé-F en attente"/>
    <n v="-31"/>
    <s v="EEDF Siège"/>
    <s v="Adhésion"/>
    <x v="7"/>
    <m/>
    <x v="2"/>
  </r>
  <r>
    <x v="0"/>
    <m/>
    <s v="Non payé-F en attente"/>
    <n v="-2000"/>
    <s v="EEDF Les Tronches"/>
    <s v="Hébergement"/>
    <x v="7"/>
    <m/>
    <x v="2"/>
  </r>
  <r>
    <x v="2"/>
    <m/>
    <m/>
    <m/>
    <m/>
    <m/>
    <x v="15"/>
    <m/>
    <x v="2"/>
  </r>
  <r>
    <x v="2"/>
    <m/>
    <m/>
    <m/>
    <m/>
    <m/>
    <x v="15"/>
    <m/>
    <x v="2"/>
  </r>
  <r>
    <x v="2"/>
    <m/>
    <m/>
    <m/>
    <m/>
    <m/>
    <x v="15"/>
    <m/>
    <x v="2"/>
  </r>
  <r>
    <x v="2"/>
    <m/>
    <m/>
    <m/>
    <m/>
    <m/>
    <x v="15"/>
    <m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9">
  <r>
    <s v="ACKER"/>
    <s v="SAMUEL"/>
    <m/>
    <m/>
    <s v="M"/>
    <m/>
    <s v="03 89 76 93 55"/>
    <s v="06 84 86 40 77"/>
    <s v="3 rue principale"/>
    <m/>
    <m/>
    <s v="68500"/>
    <s v="Wuenheim"/>
    <s v="France"/>
    <d v="2010-08-07T00:00:00"/>
    <n v="14"/>
    <s v="Colmar (68), France"/>
    <m/>
    <s v="Oui"/>
    <s v="ADH-709068"/>
    <s v="Adhérent·e"/>
    <s v="Seul·e"/>
    <s v="ACKER"/>
    <s v="REGIS"/>
    <s v="regisetanneclaude@gmail.com"/>
    <s v="03 89 76 93 55"/>
    <s v="06 84 86 40 77"/>
    <s v="ACKER"/>
    <s v="ANNE CLAUDE"/>
    <s v="scout.florival@yahoo.com"/>
    <x v="0"/>
    <x v="0"/>
    <s v="GRAND EST"/>
  </r>
  <r>
    <s v="AMMERICH"/>
    <s v="TOM"/>
    <m/>
    <m/>
    <s v="M"/>
    <s v="doudoulapinbleu@gmail.com"/>
    <m/>
    <s v="07 69 58 72 67"/>
    <s v="2 RUE BALDUNG GRIEN"/>
    <m/>
    <m/>
    <s v="67000"/>
    <s v="STRASBOURG"/>
    <m/>
    <d v="2007-03-10T00:00:00"/>
    <n v="17"/>
    <s v="Strasbourg (67), France"/>
    <m/>
    <s v="Oui"/>
    <s v="ADH-715177"/>
    <s v="Adhérent·e"/>
    <s v="Seul·e"/>
    <s v="NOËL"/>
    <s v="OLIVIA"/>
    <s v="olivianoel84@gmail.com"/>
    <m/>
    <s v="06 60 03 20 79"/>
    <s v="AMMERICH"/>
    <s v="LAURENT"/>
    <s v="laurent.ammerich@gmail.com"/>
    <x v="0"/>
    <x v="1"/>
    <s v="GRAND EST"/>
  </r>
  <r>
    <s v="BALLENGHIEN"/>
    <s v="LUCIE"/>
    <m/>
    <m/>
    <s v="F"/>
    <s v="ballengino@gmail.com"/>
    <m/>
    <s v="07 69 92 48 68"/>
    <s v="117 rue Emile Zola"/>
    <m/>
    <m/>
    <s v="10000"/>
    <s v="Troyes"/>
    <m/>
    <d v="2008-01-03T00:00:00"/>
    <n v="16"/>
    <s v="paris"/>
    <m/>
    <s v="Oui"/>
    <s v="ADH-704042"/>
    <s v="Adhérent·e"/>
    <s v="Seul·e"/>
    <s v="BALLENGHIEN"/>
    <s v="SANDRINE"/>
    <s v="ballengino@gmail.com"/>
    <m/>
    <s v="06 60 49 01 16"/>
    <s v="BALLENGHIEN"/>
    <s v="JEAN PIERRE"/>
    <s v="jpb2sct@gmail.com"/>
    <x v="0"/>
    <x v="2"/>
    <s v="GRAND EST"/>
  </r>
  <r>
    <s v="BARADEL"/>
    <s v="CHLOÉ"/>
    <m/>
    <m/>
    <s v="F"/>
    <m/>
    <m/>
    <m/>
    <s v="13 vallon d'olima"/>
    <m/>
    <m/>
    <s v="88000"/>
    <s v="chantraine"/>
    <m/>
    <d v="2015-03-23T00:00:00"/>
    <n v="9"/>
    <m/>
    <m/>
    <s v="Oui"/>
    <s v="ADH-713184"/>
    <s v="Adhérent·e"/>
    <s v="Non"/>
    <s v="BARADEL"/>
    <s v="EMILIE"/>
    <m/>
    <m/>
    <s v="07 85 82 53 56"/>
    <m/>
    <m/>
    <m/>
    <x v="0"/>
    <x v="3"/>
    <s v="GRAND EST"/>
  </r>
  <r>
    <s v="BARRAUD"/>
    <s v="TOINE"/>
    <m/>
    <m/>
    <s v="M"/>
    <s v="melentine@hotmail.fr"/>
    <m/>
    <s v="06 74 82 93 06"/>
    <s v="2 route de Waldwisse"/>
    <m/>
    <m/>
    <s v="57480"/>
    <s v="Launstroff"/>
    <m/>
    <d v="2011-07-01T00:00:00"/>
    <n v="13"/>
    <m/>
    <m/>
    <s v="Oui"/>
    <s v="ADH-704194"/>
    <s v="Adhérent·e"/>
    <s v="Avec YANN BARRAUD"/>
    <s v="BARRAUD"/>
    <s v="YANN"/>
    <s v="yannbarraud57480@gmail.com"/>
    <m/>
    <s v="06 74 82 93 06"/>
    <s v="JOSSE"/>
    <s v="CLÉMENTINE"/>
    <s v="melentine@hotmail.fr"/>
    <x v="0"/>
    <x v="4"/>
    <s v="GRAND EST"/>
  </r>
  <r>
    <s v="BATYS"/>
    <s v="EVAN"/>
    <m/>
    <m/>
    <s v="M"/>
    <s v="auroredy57@gmail.com"/>
    <m/>
    <s v="06 08 11 60 95"/>
    <s v="43 rue Saint André"/>
    <m/>
    <m/>
    <s v="57000"/>
    <s v="METZ"/>
    <s v="France"/>
    <d v="2012-08-03T00:00:00"/>
    <n v="12"/>
    <s v="Metz (57), France"/>
    <m/>
    <s v="Oui"/>
    <s v="ADH-718918"/>
    <s v="Adhérent·e"/>
    <s v="Seul·e"/>
    <s v="BATYS"/>
    <s v="ANTHONY"/>
    <s v="pouille57000@gmail.com"/>
    <s v="03 57 28 36 18"/>
    <s v="06 69 21 51 56"/>
    <s v="BATYS"/>
    <s v="AURORE"/>
    <s v="auroredy57@gmail.com"/>
    <x v="0"/>
    <x v="5"/>
    <s v="GRAND EST"/>
  </r>
  <r>
    <s v="BAYANTSAGAAN"/>
    <s v="ERKHEMBAYAR"/>
    <m/>
    <m/>
    <s v="M"/>
    <s v="erkhem671@gmail.com"/>
    <m/>
    <s v="06 68 51 76 65"/>
    <s v="3 Rue Emmanuel Levinas"/>
    <m/>
    <m/>
    <s v="67100"/>
    <s v="STRASBOURG"/>
    <s v="France"/>
    <d v="2007-12-29T00:00:00"/>
    <n v="16"/>
    <s v="Le Havre (76), France"/>
    <m/>
    <s v="Oui"/>
    <s v="ADH-707020"/>
    <s v="Adhérent·e"/>
    <s v="Seul·e"/>
    <s v="BAYANTSAGAAN"/>
    <s v="BAYARSAIKHAN"/>
    <s v="bsaikhan09@gmail.com"/>
    <m/>
    <s v="06 62 29 92 02"/>
    <s v="BAYANTSAGAAN"/>
    <s v="BAYARMAA"/>
    <s v="bayarmaa_1199@yahoo.fr"/>
    <x v="0"/>
    <x v="1"/>
    <s v="GRAND EST"/>
  </r>
  <r>
    <s v="BELABASSI"/>
    <s v="AYA"/>
    <m/>
    <m/>
    <s v="F"/>
    <s v="celia.gozillon@gmail.com"/>
    <m/>
    <s v="06 63 02 85 69"/>
    <s v="12 RUE DES LOGES"/>
    <m/>
    <m/>
    <s v="57000"/>
    <s v="METZ"/>
    <s v="France"/>
    <d v="2009-08-13T00:00:00"/>
    <n v="15"/>
    <s v="Metz (57), France"/>
    <m/>
    <s v="Oui"/>
    <s v="ADH-599594"/>
    <s v="Adhérent·e"/>
    <s v="Seul·e"/>
    <s v="GOZILLON"/>
    <s v="CÉLIA"/>
    <s v="celia.eedf.metz@gmail.com"/>
    <m/>
    <s v="06 63 02 85 69"/>
    <m/>
    <m/>
    <m/>
    <x v="0"/>
    <x v="6"/>
    <s v="GRAND EST"/>
  </r>
  <r>
    <s v="BELLAMY"/>
    <s v="LOUIS"/>
    <m/>
    <m/>
    <s v="M"/>
    <m/>
    <m/>
    <m/>
    <s v="4"/>
    <m/>
    <m/>
    <s v="88000"/>
    <s v="chantraine"/>
    <s v="France"/>
    <d v="2014-06-07T00:00:00"/>
    <n v="10"/>
    <s v="Épinal (88), France"/>
    <m/>
    <s v="Non"/>
    <s v="ADH-615586"/>
    <s v="Adhérent·e"/>
    <s v="Non"/>
    <s v="HEURTAUT"/>
    <s v="MELANIE"/>
    <s v="mel.heurtaut@gmail.com"/>
    <m/>
    <m/>
    <s v="BELLAMY"/>
    <s v="LAURENT"/>
    <s v="mail.bellamy.laurent@gmail.com"/>
    <x v="0"/>
    <x v="3"/>
    <s v="GRAND EST"/>
  </r>
  <r>
    <s v="BERISA"/>
    <s v="SHAINA"/>
    <m/>
    <m/>
    <s v="F"/>
    <s v="shaina.johanna.ilyan@hotmail.fr"/>
    <m/>
    <m/>
    <s v="16 la Belle Epine"/>
    <m/>
    <m/>
    <s v="10220"/>
    <s v="Mesnil Sellières"/>
    <m/>
    <d v="2010-07-06T00:00:00"/>
    <n v="14"/>
    <s v="chaumont"/>
    <m/>
    <s v="Oui"/>
    <s v="ADH-706741"/>
    <s v="Adhérent·e"/>
    <s v="Seul·e"/>
    <s v="BERISA"/>
    <s v="GLADYS"/>
    <s v="shaina.johanna.ilyan@hotmail.fr"/>
    <m/>
    <s v="06 72 01 19 04"/>
    <s v="BERISA"/>
    <s v="ADEM"/>
    <s v="shaina.johanna.ilyan@hotmail.fr"/>
    <x v="0"/>
    <x v="2"/>
    <s v="GRAND EST"/>
  </r>
  <r>
    <s v="BERNARD"/>
    <s v="MARIUS"/>
    <m/>
    <m/>
    <s v="M"/>
    <m/>
    <m/>
    <m/>
    <s v="56 rude la cheneau"/>
    <m/>
    <m/>
    <s v="57070"/>
    <s v="METZ"/>
    <m/>
    <d v="2016-10-29T00:00:00"/>
    <n v="7"/>
    <m/>
    <m/>
    <s v="Oui"/>
    <s v="ADH-710060"/>
    <s v="Adhérent·e"/>
    <s v="Non"/>
    <s v="BERNARD"/>
    <s v="ALEXANDRA"/>
    <s v="alexandrark@hotmail.fr"/>
    <m/>
    <s v="06 82 43 25 87"/>
    <s v="BERNARD"/>
    <s v="JULIEN"/>
    <s v="juien.r.bernard@gmail.com"/>
    <x v="0"/>
    <x v="6"/>
    <s v="GRAND EST"/>
  </r>
  <r>
    <s v="BILLEREY"/>
    <s v="CAMILLE"/>
    <m/>
    <m/>
    <s v="F"/>
    <s v="camille@billerey.fr"/>
    <m/>
    <s v="06 46 29 31 55"/>
    <s v="33 avenue Major Général Georges Vanier"/>
    <m/>
    <m/>
    <s v="10000"/>
    <s v="Troyes"/>
    <m/>
    <d v="2017-04-26T00:00:00"/>
    <n v="7"/>
    <s v="Troyes (10), France"/>
    <m/>
    <s v="Oui"/>
    <s v="ADH-711738"/>
    <s v="Adhérent·e"/>
    <s v="Non"/>
    <s v="BILLEREY"/>
    <s v="BERTRAND"/>
    <s v="bihoreau@eedf.org"/>
    <s v="06 09 61 60 70"/>
    <s v="06 88 88 27 77"/>
    <s v="BILLEREY"/>
    <s v="MELODY"/>
    <s v="vanier16@billerey.fr"/>
    <x v="0"/>
    <x v="7"/>
    <s v="GRAND EST"/>
  </r>
  <r>
    <s v="BONNAILLIE"/>
    <s v="CLEMENTINE"/>
    <m/>
    <m/>
    <s v="F"/>
    <s v="clementine.bounnaillie@gmail.com"/>
    <m/>
    <s v="06 41 99 64 95"/>
    <s v="3 rue Monseigneur Raeso"/>
    <m/>
    <m/>
    <s v="67200"/>
    <s v="STRASBOURG"/>
    <m/>
    <d v="2008-11-28T00:00:00"/>
    <n v="15"/>
    <s v="Schiltigheim (67), France"/>
    <m/>
    <s v="Oui"/>
    <s v="ADH-717383"/>
    <s v="Adhérent·e"/>
    <s v="Non"/>
    <s v="BONNAILLIE"/>
    <s v="VINCENT"/>
    <s v="bournaillievincent@gmail.com"/>
    <m/>
    <s v="06 44 03 58 20"/>
    <m/>
    <m/>
    <m/>
    <x v="0"/>
    <x v="1"/>
    <s v="GRAND EST"/>
  </r>
  <r>
    <s v="BOUGEL"/>
    <s v="NINA"/>
    <m/>
    <m/>
    <s v="F"/>
    <m/>
    <m/>
    <s v="06 35 96 39 35"/>
    <s v="17 rue Hauvy"/>
    <m/>
    <m/>
    <s v="10300"/>
    <s v="SAINTE SAVINE"/>
    <m/>
    <d v="2012-03-22T00:00:00"/>
    <n v="12"/>
    <s v="Troyes (10), France"/>
    <m/>
    <s v="Oui"/>
    <s v="ADH-706365"/>
    <s v="Adhérent·e"/>
    <s v="Seul·e"/>
    <s v="BOUGEL"/>
    <s v="MARC"/>
    <s v="marc.bougel@gmail.com"/>
    <m/>
    <s v="06 35 96 39 35"/>
    <s v="GILLE"/>
    <s v="ANNE CECILE"/>
    <s v="acgille@gmail.com"/>
    <x v="0"/>
    <x v="8"/>
    <s v="GRAND EST"/>
  </r>
  <r>
    <s v="BOURGET"/>
    <s v="KYLIAN"/>
    <m/>
    <m/>
    <s v="M"/>
    <s v="jonathanpouh88@gmail.com"/>
    <s v="09 54 70 73 01"/>
    <m/>
    <s v="rue principale"/>
    <m/>
    <m/>
    <s v="57800"/>
    <s v="COCHEREN"/>
    <s v="France"/>
    <d v="2008-11-29T00:00:00"/>
    <n v="15"/>
    <s v="Saint-Avold (57), France"/>
    <m/>
    <s v="Oui"/>
    <s v="ADH-612882"/>
    <s v="Adhérent·e"/>
    <s v="Non"/>
    <s v="SCANNAPIECO"/>
    <s v="FAUVE"/>
    <s v="jonathanpouh88@gmail.com"/>
    <s v="07 80 33 24 17"/>
    <m/>
    <m/>
    <m/>
    <m/>
    <x v="0"/>
    <x v="9"/>
    <s v="GRAND EST"/>
  </r>
  <r>
    <s v="BOURGIN"/>
    <s v="CÉLESTE"/>
    <m/>
    <m/>
    <s v="F"/>
    <m/>
    <m/>
    <m/>
    <s v="737 Rte de Pologny"/>
    <m/>
    <m/>
    <s v="74910"/>
    <s v="Seyssel"/>
    <s v="France"/>
    <d v="2011-08-14T00:00:00"/>
    <n v="13"/>
    <s v="Metz-Tessy (74), France"/>
    <m/>
    <s v="Oui"/>
    <s v="ADH-706648"/>
    <s v="Adhérent·e"/>
    <s v="Non"/>
    <s v="BOURGIN"/>
    <s v="CHRISTEL"/>
    <s v="christel.bourgin@gmail.com"/>
    <m/>
    <s v="06 25 25 15 24"/>
    <s v="BOURGIN"/>
    <s v="JÉROME"/>
    <m/>
    <x v="0"/>
    <x v="1"/>
    <s v="GRAND EST"/>
  </r>
  <r>
    <s v="BRAND"/>
    <s v="LAMIA"/>
    <m/>
    <m/>
    <s v="F"/>
    <s v="joellenavarro@yahoo.fr"/>
    <m/>
    <m/>
    <s v="44 RUE PRINCIPALE"/>
    <m/>
    <m/>
    <s v="57340"/>
    <s v="DALHAIN"/>
    <s v="France"/>
    <d v="2015-06-11T00:00:00"/>
    <n v="9"/>
    <s v="Peltre (57), France"/>
    <m/>
    <s v="Oui"/>
    <s v="ADH-700899"/>
    <s v="Adhérent·e"/>
    <s v="Non"/>
    <s v="NAVARRO"/>
    <s v="JOELLE"/>
    <s v="joellenavarro@yahoo.fr"/>
    <m/>
    <m/>
    <m/>
    <m/>
    <m/>
    <x v="0"/>
    <x v="9"/>
    <s v="GRAND EST"/>
  </r>
  <r>
    <s v="BRIZZI"/>
    <s v="LOUISA"/>
    <m/>
    <m/>
    <s v="F"/>
    <s v="rachelchampvillair@gmail.com"/>
    <m/>
    <s v="06 95 06 17 35"/>
    <s v="5 C RUE DE LAVAUX"/>
    <m/>
    <m/>
    <s v="57050"/>
    <s v="PLAPPEVILLE"/>
    <s v="France"/>
    <d v="2008-05-03T00:00:00"/>
    <n v="16"/>
    <s v="Metz (57), France"/>
    <m/>
    <s v="Oui"/>
    <s v="ADH-600844"/>
    <s v="Adhérent·e"/>
    <s v="Non"/>
    <s v="CHAMPVILLAIR"/>
    <s v="RACHEL"/>
    <s v="rachelchampvillair@gmail.com"/>
    <m/>
    <s v="06 89 45 73 88"/>
    <m/>
    <m/>
    <m/>
    <x v="0"/>
    <x v="4"/>
    <s v="GRAND EST"/>
  </r>
  <r>
    <s v="BRONNER"/>
    <s v="ERINE"/>
    <m/>
    <m/>
    <s v="F"/>
    <m/>
    <m/>
    <m/>
    <s v="65 rue Hugwald"/>
    <m/>
    <m/>
    <s v="68100"/>
    <s v="MULHOUSE"/>
    <s v="France"/>
    <d v="2017-04-11T00:00:00"/>
    <n v="7"/>
    <s v="Nice (06), France"/>
    <m/>
    <s v="Oui"/>
    <s v="ADH-714863"/>
    <s v="Adhérent·e"/>
    <s v="Non"/>
    <s v="SEIDENBINDER"/>
    <s v="LAURE"/>
    <s v="laureseiden@hotmail.fr"/>
    <m/>
    <s v="06 25 01 34 43"/>
    <s v="BRONNER"/>
    <s v="MANUEL"/>
    <s v="manuelbronner@yahoo.fr"/>
    <x v="0"/>
    <x v="10"/>
    <s v="GRAND EST"/>
  </r>
  <r>
    <s v="BUR"/>
    <s v="HELOISE"/>
    <m/>
    <m/>
    <s v="F"/>
    <m/>
    <m/>
    <m/>
    <s v="10 rue Salvator"/>
    <m/>
    <m/>
    <s v="68100"/>
    <s v="MULHOUSE"/>
    <s v="France"/>
    <d v="2014-04-26T00:00:00"/>
    <n v="10"/>
    <s v="Mulhouse (68), France"/>
    <m/>
    <s v="Oui"/>
    <s v="ADH-711757"/>
    <s v="Adhérent·e"/>
    <s v="Avec SOPHIE / VIRGINIE PETILLON / KAISER"/>
    <s v="SCHILLING-BUR"/>
    <s v="LAURE"/>
    <s v="schillingbur@gmail.com"/>
    <m/>
    <s v="06 25 32 05 30"/>
    <s v="BUR"/>
    <s v="SEBASTIEN"/>
    <s v="nepasutiliser3@gmail.com"/>
    <x v="0"/>
    <x v="10"/>
    <s v="GRAND EST"/>
  </r>
  <r>
    <s v="CEGARRA"/>
    <s v="ARCHIBALD"/>
    <m/>
    <m/>
    <s v="M"/>
    <m/>
    <m/>
    <m/>
    <s v="10 rue des orphelins"/>
    <m/>
    <m/>
    <s v="67000"/>
    <s v="STRASBOURG"/>
    <s v="France"/>
    <d v="2013-04-16T00:00:00"/>
    <n v="11"/>
    <s v="paris"/>
    <m/>
    <s v="Oui"/>
    <s v="ADH-715593"/>
    <s v="Adhérent·e"/>
    <s v="Avec CLEMENCE BUCHER"/>
    <s v="CEGARRA"/>
    <s v="ANTOINE"/>
    <s v="acegarra@hotmail.com"/>
    <m/>
    <s v="06 83 63 14 16"/>
    <s v="SEITZ"/>
    <s v="VICTORINE"/>
    <s v="acegarra@hotmail.com"/>
    <x v="0"/>
    <x v="1"/>
    <s v="GRAND EST"/>
  </r>
  <r>
    <s v="CHAPON"/>
    <s v="ELSA"/>
    <m/>
    <m/>
    <s v="F"/>
    <s v="lisou.nitram@gmail.com"/>
    <m/>
    <m/>
    <s v="20 rue baltet petit"/>
    <m/>
    <m/>
    <s v="10350"/>
    <s v="villeloup"/>
    <m/>
    <d v="2008-04-27T00:00:00"/>
    <n v="16"/>
    <s v="Troyes (10), France"/>
    <m/>
    <s v="Oui"/>
    <s v="ADH-704240"/>
    <s v="Adhérent·e"/>
    <s v="Non"/>
    <s v="MARTIN"/>
    <s v="LISE"/>
    <s v="lisou.nitram@gmail.com"/>
    <m/>
    <s v="06 73 41 81 27"/>
    <s v="CHAPON"/>
    <s v="JULIEN"/>
    <s v="julienchapon7@gmail.com"/>
    <x v="0"/>
    <x v="8"/>
    <s v="GRAND EST"/>
  </r>
  <r>
    <s v="CHARDIN"/>
    <s v="AUGUSTINE"/>
    <m/>
    <m/>
    <s v="F"/>
    <m/>
    <m/>
    <m/>
    <s v="14 bis rue du Château"/>
    <m/>
    <m/>
    <s v="57645"/>
    <s v="Retonfey"/>
    <m/>
    <d v="2017-04-26T00:00:00"/>
    <n v="7"/>
    <s v="Metz (57), France"/>
    <m/>
    <s v="Oui"/>
    <s v="ADH-716556"/>
    <s v="Adhérent·e"/>
    <s v="Avec GENEVIEVE OU PHILIPPE HOFMANN"/>
    <s v="CHARDIN"/>
    <s v="CATHERINE"/>
    <s v="hofmanncatherine@yahoo.fr"/>
    <m/>
    <s v="06 30 71 64 01"/>
    <s v="CHARDIN"/>
    <s v="DONAT"/>
    <s v="donatchardin@gmail.com"/>
    <x v="0"/>
    <x v="6"/>
    <s v="GRAND EST"/>
  </r>
  <r>
    <s v="CHEPY"/>
    <s v="PAULIN"/>
    <m/>
    <m/>
    <s v="M"/>
    <s v="annabelle.chepy@orange.fr"/>
    <m/>
    <s v="06 33 35 53 69"/>
    <s v="62 RUE DE LA REPUBLIQUE"/>
    <m/>
    <m/>
    <s v="10150"/>
    <s v="CRENEY PRES TROYES"/>
    <s v="France"/>
    <d v="2007-10-10T00:00:00"/>
    <n v="16"/>
    <s v="Saint-Dizier (52), France"/>
    <m/>
    <s v="Oui"/>
    <s v="ADH-608383"/>
    <s v="Adhérent·e"/>
    <s v="Seul·e"/>
    <s v="CHEPY"/>
    <s v="OLIVIER"/>
    <s v="jenaipas.cestpasoblige@jesuislibre.fr"/>
    <m/>
    <s v="06 40 13 52 02"/>
    <s v="CHEPY"/>
    <s v="ANNABELLE"/>
    <s v="annabelle.chepy@orange.fr"/>
    <x v="0"/>
    <x v="2"/>
    <s v="GRAND EST"/>
  </r>
  <r>
    <s v="DELAPORTE"/>
    <s v="LEO"/>
    <m/>
    <m/>
    <s v="M"/>
    <s v="leodelaporte57@gmail.com"/>
    <m/>
    <s v="07 83 72 52 91"/>
    <s v="18 RUE LEMOYNE"/>
    <m/>
    <m/>
    <s v="57050"/>
    <s v="METZ"/>
    <s v="France"/>
    <d v="2006-07-19T00:00:00"/>
    <n v="18"/>
    <s v="Metz (57), France"/>
    <m/>
    <s v="Oui"/>
    <s v="ADH-568650"/>
    <s v="Adhérent·e"/>
    <s v="Seul·e"/>
    <s v="DELAPORTE"/>
    <s v="DIDIER"/>
    <s v="delaporte.didier78@gmail.com"/>
    <m/>
    <s v="06 81 96 45 32"/>
    <s v="DELAPORTE"/>
    <s v="ANGELIQUE"/>
    <s v="zelique@free.fr"/>
    <x v="0"/>
    <x v="11"/>
    <s v="GRAND EST"/>
  </r>
  <r>
    <s v="DEMANGE"/>
    <s v="YOANIS"/>
    <m/>
    <m/>
    <s v="M"/>
    <m/>
    <s v="06 24 71 21 89"/>
    <m/>
    <s v="9 rue juillard"/>
    <m/>
    <m/>
    <s v="88200"/>
    <s v="ST ETIENNE LES REMIREMONT"/>
    <s v="France"/>
    <d v="2013-04-29T00:00:00"/>
    <n v="11"/>
    <s v="Épinal (88), France"/>
    <s v="88000"/>
    <s v="Oui"/>
    <s v="ADH-700036"/>
    <s v="Adhérent·e"/>
    <s v="Avec MARLENE DEMANGE"/>
    <s v="DEMANGE"/>
    <s v="LAURA"/>
    <s v="laura.demange417@sfr.fr"/>
    <s v="06 24 71 21 89"/>
    <m/>
    <m/>
    <m/>
    <m/>
    <x v="0"/>
    <x v="5"/>
    <s v="GRAND EST"/>
  </r>
  <r>
    <s v="DENNY"/>
    <s v="YOANN"/>
    <m/>
    <m/>
    <s v="M"/>
    <m/>
    <m/>
    <m/>
    <s v="2 impasse des lilas"/>
    <m/>
    <m/>
    <s v="57100"/>
    <s v="Volkrange"/>
    <s v="France"/>
    <d v="2013-09-10T00:00:00"/>
    <n v="10"/>
    <m/>
    <m/>
    <s v="Oui"/>
    <s v="ADH-711199"/>
    <s v="Adhérent·e"/>
    <s v="Avec PASCAL DENNY"/>
    <s v="DENNY"/>
    <s v="PASCAL"/>
    <s v="pascal.denny@hotmail.fr"/>
    <s v="03 82 50 53 66"/>
    <s v="06 76 83 49 65"/>
    <s v="BINDER"/>
    <s v="VIRGINIE"/>
    <s v="dennyvirginie@gmail.com"/>
    <x v="0"/>
    <x v="11"/>
    <s v="GRAND EST"/>
  </r>
  <r>
    <s v="DEPRET"/>
    <s v="OCEANE"/>
    <m/>
    <m/>
    <s v="F"/>
    <m/>
    <s v="07 71 12 84 84"/>
    <m/>
    <s v="32, RUE EUGENE KLOSTER"/>
    <m/>
    <m/>
    <s v="57800"/>
    <s v="FREYMING-MERLEBACH"/>
    <s v="France"/>
    <d v="2009-05-28T00:00:00"/>
    <n v="15"/>
    <s v="Forbach (57), France"/>
    <m/>
    <s v="Oui"/>
    <s v="ADH-603115"/>
    <s v="Adhérent·e"/>
    <s v="Non"/>
    <s v="DEPRET"/>
    <s v="ROXANE"/>
    <m/>
    <m/>
    <m/>
    <m/>
    <m/>
    <m/>
    <x v="0"/>
    <x v="9"/>
    <s v="GRAND EST"/>
  </r>
  <r>
    <s v="DIETRICH"/>
    <s v="MELISSA"/>
    <m/>
    <m/>
    <s v="F"/>
    <s v="nathalie.dietrich@gmail.com"/>
    <s v="07 86 34 89 30"/>
    <m/>
    <s v="48, rue de Civray"/>
    <m/>
    <m/>
    <s v="57800"/>
    <s v="FREYMING-MERLEBACH"/>
    <m/>
    <d v="2009-08-24T00:00:00"/>
    <n v="15"/>
    <s v="Forbach (57), France"/>
    <m/>
    <s v="Oui"/>
    <s v="ADH-718188"/>
    <s v="Adhérent·e"/>
    <s v="Seul·e"/>
    <s v="DIETRICH"/>
    <s v="NATHALIE"/>
    <s v="nathalie.dietrich3@gmail.com"/>
    <s v="06 34 70 43 25"/>
    <m/>
    <m/>
    <m/>
    <m/>
    <x v="0"/>
    <x v="9"/>
    <s v="GRAND EST"/>
  </r>
  <r>
    <s v="DUWEZ"/>
    <s v="ROBIN"/>
    <m/>
    <m/>
    <s v="M"/>
    <m/>
    <m/>
    <m/>
    <s v="20 rue varroy"/>
    <m/>
    <m/>
    <s v="88000"/>
    <s v="chantraine"/>
    <m/>
    <d v="2014-03-07T00:00:00"/>
    <n v="10"/>
    <s v="Épinal (88), France"/>
    <m/>
    <s v="Oui"/>
    <s v="ADH-709785"/>
    <s v="Adhérent·e"/>
    <s v="Avec ELIZABETH/PHILIPPE DUWEZ"/>
    <s v="DUWEZ"/>
    <s v="TRISTAN"/>
    <s v="tris182@hotmail.com"/>
    <m/>
    <s v="06 11 23 77 12"/>
    <s v="DUWEZ"/>
    <s v="AURÉLIE"/>
    <s v="orely-88@live.fr"/>
    <x v="0"/>
    <x v="3"/>
    <s v="GRAND EST"/>
  </r>
  <r>
    <s v="ENGEL"/>
    <s v="ANNA"/>
    <m/>
    <m/>
    <s v="F"/>
    <s v="blasuttoaurelie@gmail.com"/>
    <s v="06 67 46 83 43"/>
    <s v="06 98 40 63 86"/>
    <s v="27 RUE DES HIRONDELLES"/>
    <m/>
    <m/>
    <s v="57300"/>
    <s v="MONDELANGE"/>
    <s v="France"/>
    <d v="2014-08-31T00:00:00"/>
    <n v="10"/>
    <s v="Peltre (57), France"/>
    <m/>
    <s v="Oui"/>
    <s v="ADH-615001"/>
    <s v="Adhérent·e"/>
    <s v="Avec SEVERINE - SEBASTIEN LEDIG - ROUSSEL"/>
    <s v="ENGEL"/>
    <s v="PHILIPPE"/>
    <m/>
    <m/>
    <s v="06 67 46 83 43"/>
    <s v="ENGEL"/>
    <s v="AURELIE"/>
    <s v="blasuttoaurelie@gmail.com"/>
    <x v="0"/>
    <x v="11"/>
    <s v="GRAND EST"/>
  </r>
  <r>
    <s v="EUGENE"/>
    <s v="MINO AINA"/>
    <m/>
    <m/>
    <s v="M"/>
    <s v="minoaina@gmail.com"/>
    <m/>
    <s v="07 69 73 27 72"/>
    <s v="18 rue de la République"/>
    <m/>
    <m/>
    <s v="68500"/>
    <s v="Guebwiller"/>
    <s v="France"/>
    <d v="2009-02-05T00:00:00"/>
    <n v="15"/>
    <s v="Rome (Italie)"/>
    <m/>
    <s v="Non"/>
    <s v="ADH-715846"/>
    <s v="Adhérent·e"/>
    <s v="Seul·e"/>
    <s v="RAKOTOARISOA"/>
    <s v="HERINIAINA EUGENE"/>
    <s v="heryeugene@gmail.com"/>
    <m/>
    <s v="07 69 73 27 72"/>
    <s v="RANDRIANANDRIANINA"/>
    <s v="HANTASOA"/>
    <s v="hanta.nandrianina@gmail.com"/>
    <x v="0"/>
    <x v="0"/>
    <s v="GRAND EST"/>
  </r>
  <r>
    <s v="FASSBENDER"/>
    <s v="YOAN"/>
    <m/>
    <m/>
    <s v="M"/>
    <s v="jessy.dolvet@gmail.com"/>
    <m/>
    <s v="06 63 41 27 30"/>
    <s v="22 RUE DE LA FUTAIE"/>
    <m/>
    <m/>
    <s v="57330"/>
    <s v="HETTANGE GRANDE"/>
    <s v="France"/>
    <d v="2012-11-14T00:00:00"/>
    <n v="11"/>
    <s v="Thionville (57), France"/>
    <s v="ecolier"/>
    <s v="Oui"/>
    <s v="ADH-614988"/>
    <s v="Adhérent·e"/>
    <s v="Avec SAMIR BENRABAH"/>
    <s v="DOLVET"/>
    <s v="JESSY"/>
    <s v="jessy.dolvet@gmail.com"/>
    <m/>
    <s v="06 63 41 27 30"/>
    <s v="FASSBENDER"/>
    <s v="JEREMY"/>
    <s v="djey_drum@hotmail.com"/>
    <x v="0"/>
    <x v="11"/>
    <s v="GRAND EST"/>
  </r>
  <r>
    <s v="FAUDE SCHAEFFER"/>
    <s v="CAMILLIA"/>
    <m/>
    <m/>
    <s v="F"/>
    <m/>
    <m/>
    <m/>
    <s v="Foyer Charles FREY 1 PLACE HENRI WILL"/>
    <m/>
    <m/>
    <s v="67000"/>
    <s v="STRASBOURG"/>
    <s v="France"/>
    <d v="2018-03-01T00:00:00"/>
    <n v="6"/>
    <s v="Strasbourg (67), France"/>
    <m/>
    <s v="Oui"/>
    <s v="ADH-718004"/>
    <s v="Adhérent·e"/>
    <s v="Non"/>
    <s v="EDUCATEURS CES"/>
    <s v="EDUCATEURS ICES"/>
    <s v="groupe.pe2@foyercharlesfrey.fr"/>
    <m/>
    <s v="06 84 78 00 84"/>
    <s v="SCHAEFFER"/>
    <s v="JENNYFER"/>
    <s v="groupe.pe2@foyercharlesfrey.fr"/>
    <x v="0"/>
    <x v="1"/>
    <s v="GRAND EST"/>
  </r>
  <r>
    <s v="FRANCE GARRABET"/>
    <s v="MATHILDE"/>
    <m/>
    <m/>
    <s v="F"/>
    <m/>
    <m/>
    <m/>
    <s v="7 place de lattre de tassigny"/>
    <m/>
    <m/>
    <s v="67300"/>
    <s v="schiltigheim"/>
    <m/>
    <d v="2014-02-13T00:00:00"/>
    <n v="10"/>
    <m/>
    <m/>
    <s v="Oui"/>
    <s v="ADH-717571"/>
    <s v="Adhérent·e"/>
    <s v="Non"/>
    <s v="GARRABET"/>
    <s v="LAËTICIA"/>
    <s v="laeticia.garrabet@gmail.com"/>
    <m/>
    <s v="06 10 04 91 03"/>
    <s v="FRANCE"/>
    <s v="PIERRE"/>
    <s v="pierre.france@gmail.com"/>
    <x v="0"/>
    <x v="1"/>
    <s v="GRAND EST"/>
  </r>
  <r>
    <s v="FRANCOIS"/>
    <s v="LORRAINE"/>
    <m/>
    <m/>
    <s v="F"/>
    <s v="mkfrancois@live.fr"/>
    <m/>
    <s v="06 65 76 34 16"/>
    <s v="30 rue pasteur"/>
    <m/>
    <m/>
    <s v="57690"/>
    <s v="crehange"/>
    <m/>
    <d v="2013-09-10T00:00:00"/>
    <n v="10"/>
    <s v="Peltre (57), France"/>
    <m/>
    <s v="Oui"/>
    <s v="ADH-704050"/>
    <s v="Adhérent·e"/>
    <s v="Avec SUZON MULLER"/>
    <s v="FRANCOIS"/>
    <s v="MICHAEL"/>
    <s v="mkfrancois@live.fr"/>
    <m/>
    <s v="06 65 76 34 16"/>
    <m/>
    <m/>
    <m/>
    <x v="0"/>
    <x v="9"/>
    <s v="GRAND EST"/>
  </r>
  <r>
    <s v="GALESSAMI"/>
    <s v="ISAAC"/>
    <m/>
    <m/>
    <s v="M"/>
    <m/>
    <m/>
    <m/>
    <s v="17 rue Henri HAEFFELY"/>
    <m/>
    <m/>
    <s v="68120"/>
    <s v="PFASTATT"/>
    <s v="France"/>
    <d v="2010-05-09T00:00:00"/>
    <n v="14"/>
    <s v="LAVAL"/>
    <m/>
    <s v="Oui"/>
    <s v="ADH-711820"/>
    <s v="Adhérent·e"/>
    <s v="Seul·e"/>
    <s v="GALESSAMI"/>
    <s v="MERVEILLE"/>
    <s v="merveilleklaudygalessami@yahoo.fr"/>
    <m/>
    <s v="06 52 00 63 41"/>
    <m/>
    <m/>
    <m/>
    <x v="0"/>
    <x v="10"/>
    <s v="GRAND EST"/>
  </r>
  <r>
    <s v="GEFFROTIN"/>
    <s v="LIZZY"/>
    <m/>
    <m/>
    <s v="M"/>
    <m/>
    <m/>
    <s v="07 66 02 51 16"/>
    <s v="5, RUE SAINTE-BARBE"/>
    <m/>
    <m/>
    <s v="57800"/>
    <s v="FREYMING MERLEBACH"/>
    <s v="France"/>
    <d v="2009-10-31T00:00:00"/>
    <n v="14"/>
    <s v="Freyming-Merlebach (57), France"/>
    <m/>
    <s v="Oui"/>
    <s v="ADH-603469"/>
    <s v="Adhérent·e"/>
    <s v="Non"/>
    <s v="SNIATECKI"/>
    <s v="STEPHANIE"/>
    <m/>
    <s v="07 66 02 51 16"/>
    <m/>
    <m/>
    <m/>
    <m/>
    <x v="0"/>
    <x v="9"/>
    <s v="GRAND EST"/>
  </r>
  <r>
    <s v="GOETZMANN"/>
    <s v="VALENTIN"/>
    <m/>
    <s v="Valouche"/>
    <s v="M"/>
    <m/>
    <m/>
    <m/>
    <s v="9 rue de la forêt noire"/>
    <m/>
    <m/>
    <s v="68490"/>
    <s v="HOMBOURG"/>
    <s v="France"/>
    <d v="2016-11-22T00:00:00"/>
    <n v="7"/>
    <s v="Mulhouse (68), France"/>
    <m/>
    <s v="Oui"/>
    <s v="ADH-718470"/>
    <s v="Adhérent·e"/>
    <s v="Avec NICOLAS GOETZMANN"/>
    <s v="GOETZMANN"/>
    <s v="NICOLAS"/>
    <s v="n.goetzmann@hotmail.fr"/>
    <m/>
    <s v="06 64 93 67 27"/>
    <s v="GOETZMANN"/>
    <s v="DOROTHEE"/>
    <m/>
    <x v="0"/>
    <x v="10"/>
    <s v="GRAND EST"/>
  </r>
  <r>
    <s v="GRAS"/>
    <s v="ALEC"/>
    <m/>
    <m/>
    <s v="M"/>
    <m/>
    <m/>
    <m/>
    <s v="38 rue de l'Europe"/>
    <m/>
    <m/>
    <s v="10350"/>
    <s v="Marigny le Chatel"/>
    <m/>
    <d v="2018-03-25T00:00:00"/>
    <n v="6"/>
    <s v="Romilly-sur-Seine (10), France"/>
    <m/>
    <s v="Oui"/>
    <s v="ADH-718346"/>
    <s v="Adhérent·e"/>
    <s v="Non"/>
    <s v="GRAS"/>
    <s v="BENJAMIN"/>
    <s v="grasb23@gmail.com"/>
    <m/>
    <s v="06 30 68 88 82"/>
    <s v="GRAS"/>
    <s v="SEVERINE"/>
    <s v="severinebize4912@gmail.com"/>
    <x v="0"/>
    <x v="8"/>
    <s v="GRAND EST"/>
  </r>
  <r>
    <s v="GRENIER CARVALHO"/>
    <s v="RITA"/>
    <m/>
    <m/>
    <s v="F"/>
    <s v="ve.julien@gmail.com"/>
    <m/>
    <s v="06 58 65 03 60"/>
    <s v="24 rue Gambey"/>
    <m/>
    <m/>
    <s v="10000"/>
    <s v="Troyes"/>
    <m/>
    <d v="2016-06-29T00:00:00"/>
    <n v="8"/>
    <s v="Troyes (10), France"/>
    <m/>
    <s v="Non"/>
    <s v="ADH-715948"/>
    <s v="Adhérent·e"/>
    <s v="Avec LESAGE CYRIELLE TERESHCHENKO MICHA"/>
    <s v="GRENIER"/>
    <s v="JULIEN"/>
    <s v="ve.julien@gmail.fr"/>
    <m/>
    <s v="06 58 65 03 60"/>
    <s v="CARVALHO"/>
    <s v="NOEMIE"/>
    <s v="carvalho.no@gmail.com"/>
    <x v="0"/>
    <x v="2"/>
    <s v="GRAND EST"/>
  </r>
  <r>
    <s v="GRONDIN HIRTZ"/>
    <s v="LUCAS"/>
    <m/>
    <m/>
    <s v="M"/>
    <s v="catherinehirtz@gmail.com"/>
    <m/>
    <s v="07 62 46 04 51"/>
    <s v="34 rue Principale"/>
    <m/>
    <m/>
    <s v="68120"/>
    <s v="Richwiller"/>
    <s v="France"/>
    <d v="2011-02-21T00:00:00"/>
    <n v="13"/>
    <s v="Mulhouse (68), France"/>
    <m/>
    <s v="Non"/>
    <s v="ADH-718368"/>
    <s v="Adhérent·e"/>
    <s v="Seul·e"/>
    <s v="HIRTZ"/>
    <s v="CATHERINE"/>
    <s v="catherinehirtz@gmail.com"/>
    <s v="07 62 46 04 51"/>
    <m/>
    <s v="HIRTZ"/>
    <s v="ALEX"/>
    <s v="gab.creole974@gmail.com"/>
    <x v="0"/>
    <x v="10"/>
    <s v="GRAND EST"/>
  </r>
  <r>
    <s v="GUEYE"/>
    <s v="MAXENCE"/>
    <m/>
    <m/>
    <s v="M"/>
    <s v="Podana10@hotmail.fr"/>
    <m/>
    <s v="06 62 42 24 18"/>
    <s v="56 rue Jules Ferry"/>
    <m/>
    <m/>
    <s v="10600"/>
    <s v="La Chapelle St Luc"/>
    <m/>
    <d v="2011-12-18T00:00:00"/>
    <n v="12"/>
    <s v="Troyes (10), France"/>
    <m/>
    <s v="Oui"/>
    <s v="ADH-718344"/>
    <s v="Adhérent·e"/>
    <s v="Avec MOURET DAVID OU DENISE"/>
    <s v="ON DIGUI OTHEO"/>
    <s v="ODILE"/>
    <s v="Podana10@hotmail.fr"/>
    <m/>
    <s v="06 68 13 04 02"/>
    <s v="GUEYE"/>
    <s v="SERIGNE"/>
    <s v="Podana10@hotmail.fr"/>
    <x v="0"/>
    <x v="8"/>
    <s v="GRAND EST"/>
  </r>
  <r>
    <s v="HERBERT"/>
    <s v="ESTÉBANN"/>
    <m/>
    <m/>
    <s v="M"/>
    <s v="c.dole22@gmail.com"/>
    <m/>
    <s v="07 87 11 48 81"/>
    <s v="10 route de Courcelles"/>
    <m/>
    <m/>
    <s v="10350"/>
    <s v="Clérey"/>
    <m/>
    <d v="2011-09-22T00:00:00"/>
    <n v="12"/>
    <s v="Avranches (50), France"/>
    <m/>
    <s v="Non"/>
    <s v="ADH-717763"/>
    <s v="Adhérent·e"/>
    <s v="Avec LES PARENTS LES PARENT"/>
    <s v="HERBERT"/>
    <s v="CHLOE"/>
    <s v="C.dole22@gmail.com"/>
    <m/>
    <s v="07 87 11 48 81"/>
    <s v="HERBERT"/>
    <s v="MAXIME"/>
    <s v="nomail@gmail.com"/>
    <x v="0"/>
    <x v="7"/>
    <s v="GRAND EST"/>
  </r>
  <r>
    <s v="HERQUÉ"/>
    <s v="ALBIN"/>
    <m/>
    <m/>
    <s v="M"/>
    <m/>
    <s v="03 72 36 22 71"/>
    <m/>
    <s v="8 IMPASSE DE LA PRAIRIE"/>
    <m/>
    <m/>
    <s v="57470"/>
    <s v="HOMBOURG HAUT"/>
    <s v="France"/>
    <d v="2014-05-18T00:00:00"/>
    <n v="10"/>
    <s v="Forbach (57), France"/>
    <m/>
    <s v="Oui"/>
    <s v="ADH-615276"/>
    <s v="Adhérent·e"/>
    <s v="Non"/>
    <s v="HERQUÉ"/>
    <s v="SÉBASTIEN"/>
    <s v="delphine.suard@laposte.net"/>
    <s v="03 72 36 22 71"/>
    <s v="07 83 62 55 79"/>
    <s v="SUARD"/>
    <s v="DELPHINE"/>
    <s v="delphine.suard@laposte.net"/>
    <x v="0"/>
    <x v="9"/>
    <s v="GRAND EST"/>
  </r>
  <r>
    <s v="HUSSEIN"/>
    <s v="SHIAR"/>
    <m/>
    <m/>
    <s v="M"/>
    <m/>
    <m/>
    <m/>
    <s v="14 rue des bonnes gens"/>
    <m/>
    <m/>
    <s v="68100"/>
    <s v="MULHOUSE"/>
    <s v="France"/>
    <d v="2012-01-25T00:00:00"/>
    <n v="12"/>
    <s v="Syrie"/>
    <m/>
    <s v="Oui"/>
    <s v="ADH-706789"/>
    <s v="Adhérent·e"/>
    <s v="Seul·e"/>
    <s v="HUSSEIN"/>
    <s v="AHMAD"/>
    <s v="halima.hussein779@gmail.com"/>
    <m/>
    <s v="07 58 06 70 18"/>
    <s v="HUSSEIN"/>
    <s v="MARIAM"/>
    <s v="halima.hussein779@gmail.com"/>
    <x v="0"/>
    <x v="10"/>
    <s v="GRAND EST"/>
  </r>
  <r>
    <s v="KEPNOU ROMANOWICZ"/>
    <s v="MIA"/>
    <m/>
    <m/>
    <s v="M"/>
    <s v="kpenou@gmail.com"/>
    <m/>
    <s v="06 07 31 62 08"/>
    <s v="160 rue de la république"/>
    <m/>
    <m/>
    <s v="68500"/>
    <s v="guebwiller"/>
    <s v="France"/>
    <d v="2015-07-29T00:00:00"/>
    <n v="9"/>
    <s v="gdynia"/>
    <m/>
    <s v="Non"/>
    <s v="ADH-715830"/>
    <s v="Adhérent·e"/>
    <s v="Avec NICOLE FATINE JULIA RELANGE NICOLE - KPENOU FATINE - MARCHAND JULIA"/>
    <s v="KEPNOU ROMANOWICZ"/>
    <s v="IGNACE"/>
    <s v="kpenou@gmail.com"/>
    <s v="01 75 43 83 55"/>
    <s v="06 07 31 62 08"/>
    <s v="KEPNOU ROMANOWICZ"/>
    <s v="MALGORZAFA"/>
    <s v="malgorfata.kpenou@gmail.com"/>
    <x v="0"/>
    <x v="0"/>
    <s v="GRAND EST"/>
  </r>
  <r>
    <s v="KIENER"/>
    <s v="PRUNILLE"/>
    <m/>
    <m/>
    <s v="F"/>
    <m/>
    <m/>
    <m/>
    <s v="12 rue du 18 juin 1940"/>
    <m/>
    <m/>
    <s v="57070"/>
    <s v="Metz"/>
    <m/>
    <d v="2016-07-19T00:00:00"/>
    <n v="8"/>
    <s v="Metz (57), France"/>
    <m/>
    <s v="Oui"/>
    <s v="ADH-715960"/>
    <s v="Adhérent·e"/>
    <s v="Avec ANTHONY THIRIET"/>
    <s v="KIENER"/>
    <s v="ALINE"/>
    <s v="aline.kiener@gmail.com"/>
    <s v="06 51 43 72 35"/>
    <s v="06 51 43 72 35"/>
    <s v="GATTY"/>
    <s v="PASCAL"/>
    <s v="aline.kiener@gmail.com"/>
    <x v="0"/>
    <x v="6"/>
    <s v="GRAND EST"/>
  </r>
  <r>
    <s v="KOUROUMA"/>
    <s v="BINTOU"/>
    <m/>
    <m/>
    <s v="F"/>
    <m/>
    <m/>
    <m/>
    <s v="25 RUE DES ORMES"/>
    <m/>
    <m/>
    <s v="67200"/>
    <s v="STRASBOURG"/>
    <s v="France"/>
    <d v="2009-01-29T00:00:00"/>
    <n v="15"/>
    <s v="KANKAN, Guinée"/>
    <m/>
    <s v="Oui"/>
    <s v="ADH-718908"/>
    <s v="Adhérent·e"/>
    <s v="Non"/>
    <s v="CEA"/>
    <s v="HÔTEL DU DEPARTEMENT"/>
    <m/>
    <s v="03 69 49 39 29"/>
    <m/>
    <s v="JOST"/>
    <s v="ANNE SOPHIE"/>
    <s v="anne-sophie-jost@laposte.fr"/>
    <x v="0"/>
    <x v="1"/>
    <s v="GRAND EST"/>
  </r>
  <r>
    <s v="KRAATZ"/>
    <s v="SUNNHILD"/>
    <m/>
    <m/>
    <s v="F"/>
    <s v="touryaurelie@gmail.com"/>
    <m/>
    <s v="06 87 63 32 32"/>
    <s v="12 rue de Charmat"/>
    <m/>
    <m/>
    <s v="10190"/>
    <s v="Prugny"/>
    <m/>
    <d v="2008-08-22T00:00:00"/>
    <n v="16"/>
    <s v="berlin, Allemagne"/>
    <m/>
    <s v="Non"/>
    <s v="ADH-715152"/>
    <s v="Adhérent·e"/>
    <s v="Seul·e"/>
    <s v="TOURY"/>
    <s v="TIMOTHEE"/>
    <s v="tourytim@gmail.com"/>
    <s v="03 25 45 11 72"/>
    <s v="06 87 63 32 32"/>
    <s v="TOURY"/>
    <s v="AURELIE"/>
    <s v="touryaurelie@gmail.com"/>
    <x v="0"/>
    <x v="7"/>
    <s v="GRAND EST"/>
  </r>
  <r>
    <s v="LAUTRIDOU"/>
    <s v="KYLE"/>
    <m/>
    <m/>
    <s v="M"/>
    <m/>
    <m/>
    <m/>
    <s v="17 rue Françoise beucler"/>
    <m/>
    <m/>
    <s v="68580"/>
    <s v="Seppois le bas"/>
    <s v="France"/>
    <d v="2016-08-28T00:00:00"/>
    <n v="8"/>
    <s v="Mulhouse (68), France"/>
    <m/>
    <s v="Oui"/>
    <s v="ADH-714856"/>
    <s v="Adhérent·e"/>
    <s v="Avec XAVIER LAUTRIDOU"/>
    <s v="LAUTRIDOU"/>
    <s v="THOMAS"/>
    <s v="lautridou.thomas@gmail.com"/>
    <m/>
    <s v="06 12 65 71 73"/>
    <s v="LAUTRIDOU"/>
    <s v="XAVIER"/>
    <s v="xavier.lautridou@gmail.com"/>
    <x v="0"/>
    <x v="10"/>
    <s v="GRAND EST"/>
  </r>
  <r>
    <s v="LEFEVRE-CHARLIER"/>
    <s v="LILY"/>
    <m/>
    <m/>
    <s v="F"/>
    <s v="virginiecharlier1982@gmail.com"/>
    <m/>
    <s v="06 34 09 18 32"/>
    <s v="1 RUE  DE COLOMBEY"/>
    <m/>
    <m/>
    <s v="57000"/>
    <s v="METZ"/>
    <s v="France"/>
    <d v="2009-06-11T00:00:00"/>
    <n v="15"/>
    <s v="Metz (57), France"/>
    <m/>
    <s v="Oui"/>
    <s v="ADH-592947"/>
    <s v="Adhérent·e"/>
    <s v="Non"/>
    <s v="LEFEVRE"/>
    <s v="EMMANUEL"/>
    <s v="manu.lefevre57950@gmail.com"/>
    <m/>
    <s v="06 76 19 79 18"/>
    <s v="CHARLIER"/>
    <s v="VIRGINIE"/>
    <s v="virginiecharlier1982@gmail.com"/>
    <x v="0"/>
    <x v="6"/>
    <s v="GRAND EST"/>
  </r>
  <r>
    <s v="LETELLIER"/>
    <s v="ELLIE"/>
    <m/>
    <m/>
    <s v="F"/>
    <s v="let.emilie@gmail.com"/>
    <m/>
    <s v="06 72 89 09 74"/>
    <s v="73 RUE robert Schumann"/>
    <m/>
    <m/>
    <s v="57050"/>
    <s v="Longeville les Metz"/>
    <s v="France"/>
    <d v="2015-03-15T00:00:00"/>
    <n v="9"/>
    <s v="Peltre (57), France"/>
    <m/>
    <s v="Non"/>
    <s v="ADH-706182"/>
    <s v="Adhérent·e"/>
    <s v="Non"/>
    <s v="LETELLIER"/>
    <s v="EMILIE"/>
    <s v="let.emilie@gmail.com"/>
    <m/>
    <s v="06 72 89 09 74"/>
    <m/>
    <m/>
    <m/>
    <x v="0"/>
    <x v="6"/>
    <s v="GRAND EST"/>
  </r>
  <r>
    <s v="LOHMANN"/>
    <s v="LINA"/>
    <m/>
    <m/>
    <s v="F"/>
    <m/>
    <m/>
    <m/>
    <s v="3, rue des charretiers"/>
    <m/>
    <m/>
    <s v="57905"/>
    <s v="zettting"/>
    <m/>
    <d v="2011-11-09T00:00:00"/>
    <n v="12"/>
    <s v="Sarreguemines (57), France"/>
    <m/>
    <s v="Oui"/>
    <s v="ADH-719257"/>
    <s v="Adhérent·e"/>
    <s v="Seul·e"/>
    <s v="RENARD"/>
    <s v="STEPHANIE"/>
    <s v="stephanierenard67260@gmail.com"/>
    <m/>
    <m/>
    <m/>
    <m/>
    <m/>
    <x v="0"/>
    <x v="9"/>
    <s v="GRAND EST"/>
  </r>
  <r>
    <s v="LOUIS CLERC"/>
    <s v="OLIVIA"/>
    <m/>
    <m/>
    <s v="F"/>
    <m/>
    <m/>
    <m/>
    <s v="54 rue Thenard"/>
    <m/>
    <m/>
    <s v="68100"/>
    <s v="Mulhouse"/>
    <s v="France"/>
    <d v="2017-06-30T00:00:00"/>
    <n v="7"/>
    <s v="Mulhouse (68), France"/>
    <m/>
    <s v="Oui"/>
    <s v="ADH-715801"/>
    <s v="Adhérent·e"/>
    <s v="Non"/>
    <s v="LOUIS CLERC"/>
    <s v="CECILE"/>
    <s v="cecile.clercdenizot@gmail.com"/>
    <m/>
    <s v="06 50 07 13 08"/>
    <s v="LOUIS CLERC"/>
    <s v="NICOLAS"/>
    <s v="nicolas.louis@mobytic.com"/>
    <x v="0"/>
    <x v="10"/>
    <s v="GRAND EST"/>
  </r>
  <r>
    <s v="MAURI MONGINET"/>
    <s v="MATTÉO"/>
    <m/>
    <m/>
    <s v="M"/>
    <s v="audrey585@msn.com"/>
    <m/>
    <s v="06 89 05 48 38"/>
    <s v="9 rue de Metz"/>
    <m/>
    <m/>
    <s v="57160"/>
    <s v="Lessy"/>
    <s v="France"/>
    <d v="2012-02-28T00:00:00"/>
    <n v="12"/>
    <s v="Metz (57), France"/>
    <m/>
    <s v="Oui"/>
    <s v="ADH-718911"/>
    <s v="Adhérent·e"/>
    <s v="Seul·e"/>
    <s v="MONGINET"/>
    <s v="AUDREY"/>
    <s v="audrey585@msn.com"/>
    <m/>
    <m/>
    <s v="MAURI"/>
    <s v="JORDAN"/>
    <m/>
    <x v="0"/>
    <x v="4"/>
    <s v="GRAND EST"/>
  </r>
  <r>
    <s v="MENGONI"/>
    <s v="EVA"/>
    <m/>
    <m/>
    <s v="F"/>
    <s v="mengoni@hotmail.fr"/>
    <s v="07 77 46 29 20"/>
    <m/>
    <s v="3 IMPASSE DU SEL"/>
    <m/>
    <m/>
    <s v="57800"/>
    <s v="FREYMING-MERLEBACH"/>
    <s v="France"/>
    <d v="2009-05-23T00:00:00"/>
    <n v="15"/>
    <s v="Saint-Avold (57), France"/>
    <m/>
    <s v="Oui"/>
    <s v="ADH-607212"/>
    <s v="Adhérent·e"/>
    <s v="Seul·e"/>
    <s v="MENGONI"/>
    <s v="ELISE"/>
    <s v="mengoni@hotmail.fr"/>
    <s v="06 16 06 75 98"/>
    <m/>
    <m/>
    <m/>
    <m/>
    <x v="0"/>
    <x v="9"/>
    <s v="GRAND EST"/>
  </r>
  <r>
    <s v="MIDY"/>
    <s v="NELSON"/>
    <m/>
    <m/>
    <s v="M"/>
    <s v="jnmidy@free.fr"/>
    <m/>
    <s v="06 63 92 31 65"/>
    <s v="9 ruelle du Jenny"/>
    <m/>
    <m/>
    <s v="10800"/>
    <s v="Villemereuil"/>
    <m/>
    <d v="2015-02-11T00:00:00"/>
    <n v="9"/>
    <s v="Troyes (10), France"/>
    <m/>
    <s v="Oui"/>
    <s v="ADH-700917"/>
    <s v="Adhérent·e"/>
    <s v="Avec CLARA MEYER"/>
    <s v="MIDY"/>
    <s v="JEAN NOEL"/>
    <s v="jnmidy@free.fr"/>
    <m/>
    <s v="06 63 92 31 65"/>
    <s v="MEYER"/>
    <s v="AISSA"/>
    <s v="jnmidy@free.fr"/>
    <x v="0"/>
    <x v="7"/>
    <s v="GRAND EST"/>
  </r>
  <r>
    <s v="MOUCHOT"/>
    <s v="ELIAS"/>
    <m/>
    <m/>
    <s v="M"/>
    <m/>
    <m/>
    <m/>
    <s v="SOS Village d'enfants"/>
    <s v="3 rue Henri Durant"/>
    <m/>
    <s v="54140"/>
    <s v="Jarville-la-Malgrange"/>
    <m/>
    <d v="2010-07-28T00:00:00"/>
    <n v="14"/>
    <s v="Nancy (54), France"/>
    <m/>
    <s v="Oui"/>
    <s v="ADH-704072"/>
    <s v="Adhérent·e"/>
    <s v="Avec SOS VILLAGES ENFANTS SOS  VILLAGE ENFANT"/>
    <s v="AIDE SOCIALE A L'ENFANCE"/>
    <s v="SOS VILLAGE D'ENFANT"/>
    <s v="nsohier@sosve.org"/>
    <m/>
    <s v="06 18 58 72 82"/>
    <m/>
    <m/>
    <m/>
    <x v="0"/>
    <x v="12"/>
    <s v="GRAND EST"/>
  </r>
  <r>
    <s v="MULLER"/>
    <s v="AME"/>
    <m/>
    <m/>
    <s v="M"/>
    <s v="assia.luigna@gmail.com"/>
    <s v="06 79 75 01 78"/>
    <m/>
    <s v="35 rue des Vosges"/>
    <m/>
    <m/>
    <s v="90110"/>
    <s v="ROMAGNY SOUS ROUGEMONT"/>
    <s v="France"/>
    <d v="2012-01-26T00:00:00"/>
    <n v="12"/>
    <s v="Schiltigheim (67), France"/>
    <m/>
    <s v="Non"/>
    <s v="ADH-716236"/>
    <s v="Adhérent·e"/>
    <s v="Avec ALEXANDRA CAPON"/>
    <s v="MULLER"/>
    <s v="NASTASSIA"/>
    <s v="assia.luigna@gmail.com"/>
    <s v="06 79 75 01 78"/>
    <m/>
    <s v="MULLER"/>
    <s v="JEAN-PHILIPPE"/>
    <s v="jean-philippemuller@sfr.fr"/>
    <x v="0"/>
    <x v="10"/>
    <s v="GRAND EST"/>
  </r>
  <r>
    <s v="NOE"/>
    <s v="ETHAN"/>
    <m/>
    <m/>
    <s v="M"/>
    <m/>
    <m/>
    <m/>
    <s v="14, rue des tisserands"/>
    <m/>
    <m/>
    <s v="67260"/>
    <s v="Herbitzheim"/>
    <m/>
    <d v="2014-07-20T00:00:00"/>
    <n v="10"/>
    <m/>
    <m/>
    <s v="Oui"/>
    <s v="ADH-701517"/>
    <s v="Adhérent·e"/>
    <s v="Seul·e"/>
    <s v="WETZEL"/>
    <s v="KATIA"/>
    <s v="katia.wetzel@sfr.fr"/>
    <m/>
    <m/>
    <m/>
    <m/>
    <m/>
    <x v="0"/>
    <x v="9"/>
    <s v="GRAND EST"/>
  </r>
  <r>
    <s v="NOUSBAUM"/>
    <s v="TIMÉO"/>
    <m/>
    <m/>
    <s v="M"/>
    <s v="sylvihay@gmail.com"/>
    <m/>
    <s v="06 61 43 36 64"/>
    <s v="23 rue des Vignes"/>
    <m/>
    <m/>
    <s v="57950"/>
    <s v="MONTIGNY-LES-METZ"/>
    <s v="France"/>
    <d v="2012-07-01T00:00:00"/>
    <n v="12"/>
    <s v="Metz (57), France"/>
    <m/>
    <s v="Oui"/>
    <s v="ADH-718916"/>
    <s v="Adhérent·e"/>
    <s v="Seul·e"/>
    <s v="HAY"/>
    <s v="SYLVIE"/>
    <s v="sylvihay@gmail.com"/>
    <m/>
    <s v="06 61 43 36 64"/>
    <m/>
    <m/>
    <m/>
    <x v="0"/>
    <x v="5"/>
    <s v="GRAND EST"/>
  </r>
  <r>
    <s v="PAJO"/>
    <s v="ARMELA"/>
    <m/>
    <m/>
    <s v="F"/>
    <s v="zhuljetalatifipajo@gmail.com"/>
    <m/>
    <s v="07 80 52 77 82"/>
    <s v="20 RUE VAYRINGE"/>
    <m/>
    <m/>
    <s v="54000"/>
    <s v="NANCY"/>
    <m/>
    <d v="2015-03-26T00:00:00"/>
    <n v="9"/>
    <m/>
    <m/>
    <s v="Oui"/>
    <s v="ADH-706163"/>
    <s v="Adhérent·e"/>
    <s v="Non"/>
    <s v="LATIFI PAJO"/>
    <s v="ZHULJETA LATIFI"/>
    <s v="zhuljetalatifipajo@gmail.com"/>
    <m/>
    <s v="07 80 52 77 82"/>
    <s v="PAJO"/>
    <s v="ANDI"/>
    <s v="PAJO@GMAIL.COM"/>
    <x v="0"/>
    <x v="12"/>
    <s v="GRAND EST"/>
  </r>
  <r>
    <s v="PAJO"/>
    <s v="BRAJAN"/>
    <m/>
    <m/>
    <s v="M"/>
    <s v="zhuljetalatifipajo@gmail.com"/>
    <m/>
    <s v="07 80 52 77 82"/>
    <s v="20 RUE VAYRINGE"/>
    <m/>
    <m/>
    <s v="54000"/>
    <s v="NANCY"/>
    <m/>
    <d v="2013-10-15T00:00:00"/>
    <n v="10"/>
    <m/>
    <m/>
    <s v="Oui"/>
    <s v="ADH-706164"/>
    <s v="Adhérent·e"/>
    <s v="Non"/>
    <s v="LATIFI PAJO"/>
    <s v="ZHULJETA"/>
    <s v="zhuljetalatifipajo@gmail.com"/>
    <m/>
    <s v="07 80 52 77 82"/>
    <s v="PAJO"/>
    <s v="ANDI"/>
    <s v="zhuljetalatifipajo@gmail.com"/>
    <x v="0"/>
    <x v="12"/>
    <s v="GRAND EST"/>
  </r>
  <r>
    <s v="PALLUD"/>
    <s v="AARON"/>
    <m/>
    <m/>
    <s v="M"/>
    <m/>
    <m/>
    <s v="06 72 91 48 31"/>
    <s v="2 RUE DES CITES"/>
    <m/>
    <m/>
    <s v="54620"/>
    <s v="BASLIEUX"/>
    <m/>
    <d v="2009-03-21T00:00:00"/>
    <n v="15"/>
    <s v="Nancy (54), France"/>
    <s v="écolier"/>
    <s v="Non"/>
    <s v="ADH-709726"/>
    <s v="Adhérent·e"/>
    <s v="Seul·e"/>
    <s v="PACAULT"/>
    <s v="LINDA"/>
    <s v="linda.pacault@gmail.com"/>
    <m/>
    <s v="06 72 91 48 31"/>
    <s v="PALLUD"/>
    <s v="ANTOINE"/>
    <s v="antoine.pallud@laposte.net"/>
    <x v="0"/>
    <x v="11"/>
    <s v="GRAND EST"/>
  </r>
  <r>
    <s v="PAQUIN"/>
    <s v="GABIN"/>
    <m/>
    <m/>
    <s v="M"/>
    <s v="paquingabin@gmail.com"/>
    <m/>
    <s v="07 78 55 19 94"/>
    <s v="5 RUE JOSEPH FABRY"/>
    <m/>
    <m/>
    <s v="57200"/>
    <s v="SARREGUEMINES"/>
    <s v="France"/>
    <d v="2008-08-19T00:00:00"/>
    <n v="16"/>
    <s v="Sarreguemines (57), France"/>
    <m/>
    <s v="Oui"/>
    <s v="ADH-603478"/>
    <s v="Adhérent·e"/>
    <s v="Seul·e"/>
    <s v="PAQUIN"/>
    <s v="MICHEL"/>
    <s v="mytch57@gmail.com"/>
    <m/>
    <m/>
    <m/>
    <m/>
    <m/>
    <x v="0"/>
    <x v="9"/>
    <s v="GRAND EST"/>
  </r>
  <r>
    <s v="PATTE PONCOT"/>
    <s v="NOA"/>
    <m/>
    <s v="Nono"/>
    <s v="M"/>
    <s v="melisande.02@hotmail.fr"/>
    <m/>
    <m/>
    <s v="48 rue franklin"/>
    <m/>
    <m/>
    <s v="68200"/>
    <s v="Mulhouse"/>
    <m/>
    <d v="2012-12-12T00:00:00"/>
    <n v="11"/>
    <s v="Doubs (25), France"/>
    <m/>
    <s v="Oui"/>
    <s v="ADH-718305"/>
    <s v="Adhérent·e"/>
    <s v="Seul·e"/>
    <s v="PATTE"/>
    <s v="MELISANDE"/>
    <s v="melisande.02@hotmail.fr"/>
    <m/>
    <s v="06 73 11 05 87"/>
    <m/>
    <m/>
    <m/>
    <x v="0"/>
    <x v="10"/>
    <s v="GRAND EST"/>
  </r>
  <r>
    <s v="PAVAN"/>
    <s v="ROMÉO"/>
    <m/>
    <m/>
    <s v="M"/>
    <m/>
    <m/>
    <m/>
    <s v="2 rue Basler"/>
    <m/>
    <m/>
    <s v="68170"/>
    <s v="Rixheim"/>
    <m/>
    <d v="2011-02-17T00:00:00"/>
    <n v="13"/>
    <s v="Mulhouse (68), France"/>
    <m/>
    <s v="Oui"/>
    <s v="ADH-718383"/>
    <s v="Adhérent·e"/>
    <s v="Seul·e"/>
    <s v="KWAST"/>
    <s v="CÉLINE"/>
    <s v="kwast.celine@neuf.fr"/>
    <m/>
    <s v="07 83 18 48 50"/>
    <s v="PAVAN"/>
    <s v="MARCO"/>
    <m/>
    <x v="0"/>
    <x v="10"/>
    <s v="GRAND EST"/>
  </r>
  <r>
    <s v="PEIFFER"/>
    <s v="MAÊL"/>
    <m/>
    <m/>
    <s v="M"/>
    <s v="mael.peiffer@gmail.com"/>
    <s v="09 50 48 12 08"/>
    <s v="07 81 63 24 18"/>
    <s v="32 Rue des Pluviers"/>
    <m/>
    <m/>
    <s v="67100"/>
    <s v="Strasbourg"/>
    <s v="France"/>
    <d v="2007-06-30T00:00:00"/>
    <n v="17"/>
    <s v="KEHL (D-77694)"/>
    <m/>
    <s v="Oui"/>
    <s v="ADH-707180"/>
    <s v="Adhérent·e"/>
    <s v="Seul·e"/>
    <s v="PEIFFER"/>
    <s v="SONJA"/>
    <s v="sonja.peiffer@gmail.com"/>
    <s v="09 50 48 12 08"/>
    <s v="06 73 45 71 23"/>
    <s v="PEIFFER"/>
    <s v="ERIC"/>
    <s v="er.peiffer@gmail.com"/>
    <x v="0"/>
    <x v="1"/>
    <s v="GRAND EST"/>
  </r>
  <r>
    <s v="PICHOT DUCLOS"/>
    <s v="NELL"/>
    <m/>
    <m/>
    <s v="F"/>
    <m/>
    <m/>
    <m/>
    <s v="17 grande rue"/>
    <m/>
    <m/>
    <s v="54300"/>
    <s v="Crion"/>
    <s v="France"/>
    <d v="2011-09-02T00:00:00"/>
    <n v="12"/>
    <m/>
    <m/>
    <s v="Oui"/>
    <s v="ADH-709868"/>
    <s v="Adhérent·e"/>
    <s v="Avec REMI PICHOT DUCLOS"/>
    <s v="PICHOT DUCLOS"/>
    <s v="REMI"/>
    <s v="rmi54fr@gmail.com"/>
    <m/>
    <s v="06 87 11 12 14"/>
    <m/>
    <m/>
    <m/>
    <x v="0"/>
    <x v="12"/>
    <s v="GRAND EST"/>
  </r>
  <r>
    <s v="PIETRAS"/>
    <s v="ELEA"/>
    <m/>
    <m/>
    <s v="F"/>
    <s v="laurelinemasson@hotmail.com"/>
    <m/>
    <s v="06 11 83 84 12"/>
    <s v="29 RUE DE NOVEANT"/>
    <m/>
    <m/>
    <s v="57680"/>
    <s v="GORZE"/>
    <s v="France"/>
    <d v="2012-01-30T00:00:00"/>
    <n v="12"/>
    <s v="Metz (57), France"/>
    <m/>
    <s v="Oui"/>
    <s v="ADH-605911"/>
    <s v="Adhérent·e"/>
    <s v="Non"/>
    <s v="PIETRAS"/>
    <s v="DIMITRI"/>
    <s v="laurelinemasson@hotmail.com"/>
    <m/>
    <s v="07 67 37 90 56"/>
    <s v="MASSON"/>
    <s v="LAURELINE"/>
    <s v="laurelinemasson@hotmail.com"/>
    <x v="0"/>
    <x v="6"/>
    <s v="GRAND EST"/>
  </r>
  <r>
    <s v="PIQUET"/>
    <s v="LENY"/>
    <m/>
    <m/>
    <s v="M"/>
    <m/>
    <s v="09 52 76 12 68"/>
    <s v="07 68 85 10 25"/>
    <s v="121 rue du général de Gaulle"/>
    <m/>
    <m/>
    <s v="68660"/>
    <s v="Rombach le franc"/>
    <s v="France"/>
    <d v="2013-09-23T00:00:00"/>
    <n v="10"/>
    <s v="Rombach-le-Franc (68), France"/>
    <m/>
    <s v="Oui"/>
    <s v="ADH-704539"/>
    <s v="Adhérent·e"/>
    <s v="Avec CHANTAL / SIAN COLLIN / EHRHARD"/>
    <s v="PIQUET"/>
    <s v="EVE"/>
    <s v="jereve.piquet@free.fr"/>
    <m/>
    <s v="07 68 85 10 25"/>
    <s v="PIQUET"/>
    <s v="JERÉMIE"/>
    <m/>
    <x v="0"/>
    <x v="1"/>
    <s v="GRAND EST"/>
  </r>
  <r>
    <s v="PIRRERA-NOWICHI"/>
    <s v="ELIOT"/>
    <m/>
    <m/>
    <s v="-"/>
    <m/>
    <m/>
    <s v="06 51 15 90 21"/>
    <s v="10 Rue du Climont"/>
    <m/>
    <m/>
    <s v="67100"/>
    <s v="STRASBOURG"/>
    <s v="France"/>
    <d v="2008-10-21T00:00:00"/>
    <n v="15"/>
    <s v="Schiltigheim (67), France"/>
    <m/>
    <s v="Oui"/>
    <s v="ADH-615809"/>
    <s v="Adhérent·e"/>
    <s v="Seul·e"/>
    <s v="PIRRERA"/>
    <s v="JÉROME"/>
    <s v="jerome.pirrera@gmail.com"/>
    <m/>
    <s v="06 51 15 90 21"/>
    <m/>
    <m/>
    <m/>
    <x v="0"/>
    <x v="1"/>
    <s v="GRAND EST"/>
  </r>
  <r>
    <s v="RAGONNET"/>
    <s v="DANIEL"/>
    <m/>
    <m/>
    <s v="M"/>
    <s v="bilitis.dourthe@gmail.com"/>
    <m/>
    <s v="06 34 24 17 89"/>
    <s v="32 RUE ALBERT MARKS"/>
    <m/>
    <m/>
    <s v="57050"/>
    <s v="METZ"/>
    <s v="France"/>
    <d v="2010-03-21T00:00:00"/>
    <n v="14"/>
    <s v="Metz (57), France"/>
    <m/>
    <s v="Oui"/>
    <s v="ADH-608757"/>
    <s v="Adhérent·e"/>
    <s v="Seul·e"/>
    <s v="RAGONNET"/>
    <s v="EMMANUEL"/>
    <m/>
    <m/>
    <s v="06 33 29 18 94"/>
    <s v="RAGONNET"/>
    <s v="BILITIS"/>
    <s v="bilitis.dourthe@gmail.com"/>
    <x v="0"/>
    <x v="4"/>
    <s v="GRAND EST"/>
  </r>
  <r>
    <s v="RELANGE"/>
    <s v="PERNELLE"/>
    <m/>
    <m/>
    <s v="F"/>
    <m/>
    <m/>
    <s v="06 49 69 30 76"/>
    <s v="26 rue du canal"/>
    <m/>
    <m/>
    <s v="68500"/>
    <s v="Guebwiller"/>
    <s v="France"/>
    <d v="2013-09-04T00:00:00"/>
    <n v="10"/>
    <s v="Tahnn"/>
    <m/>
    <s v="Oui"/>
    <s v="ADH-709004"/>
    <s v="Adhérent·e"/>
    <s v="Non"/>
    <s v="RELANGE"/>
    <s v="JULIA"/>
    <s v="juetnico@relange.org"/>
    <s v="06 98 25 97 00"/>
    <m/>
    <s v="RELANGE"/>
    <s v="NICOLAS"/>
    <s v="juetnico@relange.org"/>
    <x v="0"/>
    <x v="0"/>
    <s v="GRAND EST"/>
  </r>
  <r>
    <s v="REZETTE"/>
    <s v="CLEMENTINE"/>
    <m/>
    <m/>
    <s v="F"/>
    <s v="guylaine.chalubert@laposte.net"/>
    <m/>
    <s v="06 72 79 42 41"/>
    <s v="77 rue Jean Julien Barbé"/>
    <m/>
    <m/>
    <s v="57070"/>
    <s v="VANTOUX"/>
    <s v="France"/>
    <d v="2012-07-27T00:00:00"/>
    <n v="12"/>
    <s v="Metz (57), France"/>
    <m/>
    <s v="Oui"/>
    <s v="ADH-708634"/>
    <s v="Adhérent·e"/>
    <s v="Seul·e"/>
    <s v="CHALUBERT"/>
    <s v="GUYLAINE"/>
    <s v="ghylaine.chalubert@laposte.net"/>
    <m/>
    <s v="06 72 79 42 41"/>
    <s v="REZETTE"/>
    <s v="DAVID"/>
    <s v="rezette.david@gmail.com"/>
    <x v="0"/>
    <x v="6"/>
    <s v="GRAND EST"/>
  </r>
  <r>
    <s v="RIVERA"/>
    <s v="AURELE"/>
    <m/>
    <m/>
    <s v="M"/>
    <s v="audrey.hiraux@sfr.fr"/>
    <m/>
    <s v="06 51 31 76 13"/>
    <s v="16 RUE DE LA CHAPELLE"/>
    <m/>
    <m/>
    <s v="57220"/>
    <s v="RICKRANGE"/>
    <s v="France"/>
    <d v="2011-06-28T00:00:00"/>
    <n v="13"/>
    <s v="Saint-Avold (57), France"/>
    <m/>
    <s v="Oui"/>
    <s v="ADH-596467"/>
    <s v="Adhérent·e"/>
    <s v="Non"/>
    <s v="HIRAUX"/>
    <s v="AUDREY"/>
    <s v="audrey.hiraux@sfr.fr"/>
    <m/>
    <s v="06 15 79 48 06"/>
    <m/>
    <m/>
    <m/>
    <x v="0"/>
    <x v="9"/>
    <s v="GRAND EST"/>
  </r>
  <r>
    <s v="ROBIN"/>
    <s v="IZZIE"/>
    <m/>
    <m/>
    <s v="F"/>
    <s v="vaju18@yahoo.fr"/>
    <m/>
    <s v="06 26 17 06 07"/>
    <s v="8 rue Yvonne Martinot"/>
    <m/>
    <m/>
    <s v="10140"/>
    <s v="Mesnil St Père"/>
    <m/>
    <d v="2013-09-17T00:00:00"/>
    <n v="10"/>
    <s v="Troyes (10), France"/>
    <m/>
    <s v="Non"/>
    <s v="ADH-715924"/>
    <s v="Adhérent·e"/>
    <s v="Non"/>
    <s v="VAUTRIN"/>
    <s v="JUSTINE"/>
    <s v="vaju18@yahoo.fr"/>
    <m/>
    <s v="06 26 17 06 07"/>
    <m/>
    <m/>
    <m/>
    <x v="0"/>
    <x v="2"/>
    <s v="GRAND EST"/>
  </r>
  <r>
    <s v="ROGER"/>
    <s v="MAËLYS"/>
    <m/>
    <m/>
    <s v="F"/>
    <s v="mahien@hotmail.fr"/>
    <m/>
    <s v="06 71 40 58 40"/>
    <s v="5 rue du Val de Metz"/>
    <m/>
    <m/>
    <s v="57640"/>
    <s v="Vigy"/>
    <s v="France"/>
    <d v="2010-07-13T00:00:00"/>
    <n v="14"/>
    <s v="Rang-du-Fliers (62), France"/>
    <m/>
    <s v="Oui"/>
    <s v="ADH-702873"/>
    <s v="Adhérent·e"/>
    <s v="Non"/>
    <s v="NAPOLETANO"/>
    <s v="MARIE"/>
    <s v="mahien@hotmail.fr"/>
    <s v="06 71 40 58 40"/>
    <m/>
    <m/>
    <m/>
    <m/>
    <x v="0"/>
    <x v="6"/>
    <s v="GRAND EST"/>
  </r>
  <r>
    <s v="RUSNANI"/>
    <s v="SANTIAGO"/>
    <m/>
    <m/>
    <s v="M"/>
    <m/>
    <m/>
    <m/>
    <s v="7 rue camille Niel"/>
    <m/>
    <m/>
    <s v="10000"/>
    <s v="TROYES"/>
    <m/>
    <d v="2017-06-15T00:00:00"/>
    <n v="7"/>
    <s v="Troyes (10), France"/>
    <m/>
    <s v="Non"/>
    <s v="ADH-715921"/>
    <s v="Adhérent·e"/>
    <s v="Avec MICHEL VALLOIS"/>
    <s v="PRECI"/>
    <s v="LILJANA"/>
    <s v="ana412777@gmail.com"/>
    <m/>
    <s v="06 05 56 77 17"/>
    <m/>
    <m/>
    <m/>
    <x v="0"/>
    <x v="2"/>
    <s v="GRAND EST"/>
  </r>
  <r>
    <s v="SALAMALA RIVIERE"/>
    <s v="JADE"/>
    <m/>
    <m/>
    <s v="F"/>
    <s v="mariebernard974@hotmail.fr"/>
    <m/>
    <s v="07 81 44 65 15"/>
    <s v="17 rue Lafargue"/>
    <m/>
    <m/>
    <s v="10000"/>
    <s v="TROYES"/>
    <m/>
    <d v="2012-03-20T00:00:00"/>
    <n v="12"/>
    <s v="Saint Benoit"/>
    <m/>
    <s v="Oui"/>
    <s v="ADH-712176"/>
    <s v="Adhérent·e"/>
    <s v="Avec MARIE HOAREAU"/>
    <s v="HOAREAU"/>
    <s v="MARIE"/>
    <s v="mariebernard974@hotmail.fr"/>
    <m/>
    <s v="07 81 44 65 15"/>
    <m/>
    <m/>
    <m/>
    <x v="0"/>
    <x v="2"/>
    <s v="GRAND EST"/>
  </r>
  <r>
    <s v="SCHOENHENTZ"/>
    <s v="GEREMY"/>
    <m/>
    <m/>
    <s v="M"/>
    <s v="Stephanierenard67260@gmail.com"/>
    <m/>
    <s v="07 67 62 33 13"/>
    <s v="54, RUE DU BOSQUET"/>
    <m/>
    <m/>
    <s v="57915"/>
    <s v="WOUSTVILLER"/>
    <s v="France"/>
    <d v="2008-07-03T00:00:00"/>
    <n v="16"/>
    <s v="Sarreguemines (57), France"/>
    <m/>
    <s v="Oui"/>
    <s v="ADH-609068"/>
    <s v="Adhérent·e"/>
    <s v="Non"/>
    <s v="RENARD"/>
    <s v="STEPHANIE"/>
    <s v="stephanierenard67260@gmail.com"/>
    <m/>
    <m/>
    <m/>
    <m/>
    <m/>
    <x v="0"/>
    <x v="9"/>
    <s v="GRAND EST"/>
  </r>
  <r>
    <s v="SEEMANN"/>
    <s v="HUGO"/>
    <m/>
    <m/>
    <s v="M"/>
    <s v="christelle.seemann@orange.fr"/>
    <s v="03 89 44 27 04"/>
    <s v="06 22 68 53 79"/>
    <s v="30 rue du Rhin"/>
    <m/>
    <m/>
    <s v="68440"/>
    <s v="LANDSER"/>
    <s v="France"/>
    <d v="2011-07-23T00:00:00"/>
    <n v="13"/>
    <s v="Mulhouse (68), France"/>
    <m/>
    <s v="Oui"/>
    <s v="ADH-718411"/>
    <s v="Adhérent·e"/>
    <s v="Avec SEEMANN CHRISTELLE"/>
    <s v="SEEMANN"/>
    <s v="CHRISTELLE"/>
    <s v="christelle.seemann@orange.fr"/>
    <s v="03 89 44 27 04"/>
    <s v="06 22 68 53 79"/>
    <s v="SEEMANN"/>
    <s v="FRANCK"/>
    <s v="franck.seemann@orange.fr"/>
    <x v="0"/>
    <x v="10"/>
    <s v="GRAND EST"/>
  </r>
  <r>
    <s v="SHILONGO"/>
    <s v="TONATENI"/>
    <m/>
    <m/>
    <s v="M"/>
    <s v="blackfiish@mailo.com"/>
    <m/>
    <s v="07 68 34 33 03"/>
    <s v="61 ROUTE DE JOUY"/>
    <m/>
    <m/>
    <s v="57160"/>
    <s v="MOULINS LES METZ"/>
    <m/>
    <d v="2009-07-03T00:00:00"/>
    <n v="15"/>
    <m/>
    <m/>
    <s v="Oui"/>
    <s v="ADH-583354"/>
    <s v="Adhérent·e"/>
    <s v="Seul·e"/>
    <s v="PROT"/>
    <s v="VALERIE"/>
    <s v="valerieprot@yahoo.fr"/>
    <s v="06 17 81 58 05"/>
    <s v="06 17 81 58 05"/>
    <m/>
    <m/>
    <m/>
    <x v="0"/>
    <x v="9"/>
    <s v="GRAND EST"/>
  </r>
  <r>
    <s v="SIKHAROULIDZE"/>
    <s v="DAVID"/>
    <m/>
    <m/>
    <s v="M"/>
    <s v="venuszorinza@gmail.com"/>
    <m/>
    <s v="06 02 60 52 77"/>
    <s v="73 rue du General de Gaulle"/>
    <m/>
    <m/>
    <s v="57050"/>
    <s v="Plappeville"/>
    <s v="France"/>
    <d v="2015-03-07T00:00:00"/>
    <n v="9"/>
    <s v="Metz (57), France"/>
    <m/>
    <s v="Oui"/>
    <s v="ADH-717805"/>
    <s v="Adhérent·e"/>
    <s v="Non"/>
    <s v="SIKHAROULIDZE"/>
    <s v="LASLA"/>
    <m/>
    <m/>
    <s v="06 03 88 15 79"/>
    <s v="LOGVINEKO"/>
    <s v="OLGA"/>
    <s v="venuszorina@gmail.com"/>
    <x v="0"/>
    <x v="4"/>
    <s v="GRAND EST"/>
  </r>
  <r>
    <s v="SOMON"/>
    <s v="CIANA"/>
    <m/>
    <m/>
    <s v="F"/>
    <s v="ms13du57@gmail.com"/>
    <s v="07 71 76 01 37"/>
    <m/>
    <s v="2, rue d'Hemering"/>
    <m/>
    <m/>
    <s v="57385"/>
    <s v="TETING"/>
    <m/>
    <d v="2013-02-25T00:00:00"/>
    <n v="11"/>
    <s v="Forbach (57), France"/>
    <m/>
    <s v="Oui"/>
    <s v="ADH-718187"/>
    <s v="Adhérent·e"/>
    <s v="Seul·e"/>
    <s v="SOMON"/>
    <s v="MEDERIC"/>
    <s v="ms13du57@gmail.com"/>
    <s v="07 71 76 01 37"/>
    <m/>
    <m/>
    <m/>
    <m/>
    <x v="0"/>
    <x v="9"/>
    <s v="GRAND EST"/>
  </r>
  <r>
    <s v="SOMON"/>
    <s v="KATHLEEN"/>
    <m/>
    <m/>
    <s v="F"/>
    <m/>
    <m/>
    <m/>
    <s v="36 rue Goethe appartement 12"/>
    <m/>
    <m/>
    <s v="57800"/>
    <s v="Freyming-Merlebach"/>
    <m/>
    <d v="2010-03-27T00:00:00"/>
    <n v="14"/>
    <s v="Forbach (57), France"/>
    <m/>
    <s v="Oui"/>
    <s v="ADH-713180"/>
    <s v="Adhérent·e"/>
    <s v="Avec CATHERINE SOMON"/>
    <s v="SOMON"/>
    <s v="GWENDOLINE"/>
    <s v="catherinesomon5780@gmail.com"/>
    <m/>
    <m/>
    <m/>
    <m/>
    <m/>
    <x v="0"/>
    <x v="9"/>
    <s v="GRAND EST"/>
  </r>
  <r>
    <s v="SY"/>
    <s v="PENDA-ELISA"/>
    <m/>
    <m/>
    <s v="F"/>
    <s v="valentina.cava.sy@gmail.com"/>
    <s v="06 95 21 24 68"/>
    <m/>
    <s v="18 rue Théo Fischer"/>
    <m/>
    <m/>
    <s v="68200"/>
    <s v="mulhouse"/>
    <s v="France"/>
    <d v="2012-10-30T00:00:00"/>
    <n v="11"/>
    <s v="Montbéliard (25), France"/>
    <m/>
    <s v="Oui"/>
    <s v="ADH-703476"/>
    <s v="Adhérent·e"/>
    <s v="Avec NATALE CAVA"/>
    <s v="CAVA"/>
    <s v="VALENTINA"/>
    <s v="valentina.cava.sy@gmail.com"/>
    <s v="09 50 79 50 78"/>
    <s v="07 53 35 49 89"/>
    <m/>
    <m/>
    <m/>
    <x v="0"/>
    <x v="10"/>
    <s v="GRAND EST"/>
  </r>
  <r>
    <s v="TEILLARD"/>
    <s v="JEAN BAPTISTE"/>
    <m/>
    <m/>
    <s v="M"/>
    <s v="teillard.jean.baptiste@outlook.fr"/>
    <m/>
    <s v="07 69 32 95 04"/>
    <s v="2 rue des tisserants"/>
    <m/>
    <m/>
    <s v="68360"/>
    <s v="Soultz"/>
    <s v="France"/>
    <d v="2006-12-09T00:00:00"/>
    <n v="17"/>
    <s v="Mulhouse (68), France"/>
    <m/>
    <s v="Oui"/>
    <s v="ADH-709679"/>
    <s v="Adhérent·e"/>
    <s v="Seul·e"/>
    <s v="TEILLARD"/>
    <s v="MATHIEU"/>
    <s v="mathieu.teillard@gmail.com"/>
    <m/>
    <s v="06 16 82 58 44"/>
    <s v="TEILLARD"/>
    <s v="MICHÉLE"/>
    <s v="micala428@msn.com"/>
    <x v="0"/>
    <x v="0"/>
    <s v="GRAND EST"/>
  </r>
  <r>
    <s v="TERESHCHENKO"/>
    <s v="AGATHA"/>
    <m/>
    <m/>
    <s v="F"/>
    <s v="cyrielle.lesage@gmail.com"/>
    <m/>
    <s v="06 51 35 94 86"/>
    <s v="17 rue de Vauluisant"/>
    <m/>
    <m/>
    <s v="10000"/>
    <s v="TROYES"/>
    <m/>
    <d v="2015-11-19T00:00:00"/>
    <n v="8"/>
    <s v="Troyes (10), France"/>
    <m/>
    <s v="Non"/>
    <s v="ADH-717765"/>
    <s v="Adhérent·e"/>
    <s v="Avec CARVALHO NOEMIE GRENIER JULIEN"/>
    <s v="TERESHCHENKO"/>
    <s v="MIKHAIL"/>
    <s v="nomail@gmail.com"/>
    <m/>
    <s v="06 51 35 94 86"/>
    <s v="LESAGE"/>
    <s v="CYRIELLE"/>
    <s v="cyrielle.lesage@gmail.com"/>
    <x v="0"/>
    <x v="2"/>
    <s v="GRAND EST"/>
  </r>
  <r>
    <s v="TRAORE"/>
    <s v="LILY"/>
    <s v="NAGY"/>
    <m/>
    <s v="F"/>
    <s v="alexnagy@tutanota.com"/>
    <s v="06 64 78 13 15"/>
    <m/>
    <s v="Maison forestière de Munchhouse"/>
    <s v="lieu dit Hammerstatt 68740 Roggenhouse"/>
    <m/>
    <s v="68740"/>
    <s v="Roggenhouse 68"/>
    <s v="France"/>
    <d v="2014-04-08T00:00:00"/>
    <n v="10"/>
    <s v="Paris 12ème (75), France"/>
    <m/>
    <s v="Oui"/>
    <s v="ADH-718207"/>
    <s v="Adhérent·e"/>
    <s v="Avec ALEXANDRA NAGY"/>
    <s v="NAGY"/>
    <s v="ALEXANDRA"/>
    <s v="alexnagy@tutanota.com"/>
    <s v="06 64 78 13 15"/>
    <m/>
    <m/>
    <m/>
    <m/>
    <x v="0"/>
    <x v="10"/>
    <s v="GRAND EST"/>
  </r>
  <r>
    <s v="VASSET"/>
    <s v="ROLAND"/>
    <m/>
    <m/>
    <s v="M"/>
    <s v="alexandre.jess@hotmail.fr"/>
    <m/>
    <m/>
    <s v="43, rue Clémenceau"/>
    <m/>
    <m/>
    <s v="57430"/>
    <s v="SARRALBE"/>
    <m/>
    <d v="2013-03-25T00:00:00"/>
    <n v="11"/>
    <s v="Sarreguemines (57), France"/>
    <m/>
    <s v="Oui"/>
    <s v="ADH-718672"/>
    <s v="Adhérent·e"/>
    <s v="Non"/>
    <s v="VASSET"/>
    <s v="JESSICA"/>
    <s v="alexandre.jess@hotmail.fr"/>
    <m/>
    <s v="06 65 34 98 58"/>
    <m/>
    <m/>
    <m/>
    <x v="0"/>
    <x v="9"/>
    <s v="GRAND EST"/>
  </r>
  <r>
    <s v="VILLIG"/>
    <s v="YANAEL"/>
    <m/>
    <m/>
    <s v="M"/>
    <s v="suzon.muller@live.fr"/>
    <m/>
    <m/>
    <s v="6, rue Emile Pierrard"/>
    <m/>
    <m/>
    <s v="57500"/>
    <s v="St Avold"/>
    <m/>
    <d v="2014-02-06T00:00:00"/>
    <n v="10"/>
    <m/>
    <m/>
    <s v="Oui"/>
    <s v="ADH-701513"/>
    <s v="Adhérent·e"/>
    <s v="Non"/>
    <s v="MULLER"/>
    <s v="SUZON"/>
    <s v="suzon.muller@live.fr"/>
    <m/>
    <m/>
    <m/>
    <m/>
    <m/>
    <x v="0"/>
    <x v="9"/>
    <s v="GRAND EST"/>
  </r>
  <r>
    <s v="WALLIOR"/>
    <s v="JESSY"/>
    <m/>
    <m/>
    <s v="M"/>
    <m/>
    <m/>
    <s v="06 66 73 72 15"/>
    <s v="3 RUE Du levant"/>
    <m/>
    <m/>
    <s v="67320"/>
    <s v="DRULINGEN"/>
    <s v="France"/>
    <d v="2010-01-02T00:00:00"/>
    <n v="14"/>
    <s v="Sarreguemines (57), France"/>
    <m/>
    <s v="Oui"/>
    <s v="ADH-596639"/>
    <s v="Adhérent·e"/>
    <s v="Non"/>
    <s v="WALLIOR"/>
    <s v="CHRISTA"/>
    <m/>
    <m/>
    <m/>
    <m/>
    <m/>
    <m/>
    <x v="0"/>
    <x v="9"/>
    <s v="GRAND EST"/>
  </r>
  <r>
    <s v="ARGUELLO"/>
    <s v="ELENA"/>
    <m/>
    <m/>
    <s v="F"/>
    <s v="elearguel@gmail.com"/>
    <m/>
    <s v="06 15 42 07 91"/>
    <s v="2 IMPASSE DE LA LOIRE"/>
    <m/>
    <m/>
    <s v="57100"/>
    <s v="THIONVILLE"/>
    <m/>
    <d v="2008-08-14T00:00:00"/>
    <n v="16"/>
    <s v="Thionville (57), France"/>
    <m/>
    <s v="Oui"/>
    <s v="ADH-706795"/>
    <s v="Adhérent·e"/>
    <s v="Avec FRANÇOIS/ KATYA ZDROWJESKY"/>
    <s v="ARGUELLO"/>
    <s v="VÉRONIQUE"/>
    <s v="serisveronique@hotmail.com"/>
    <s v="09 81 85 28 87"/>
    <s v="06 15 42 07 91"/>
    <s v="ARGUELLO"/>
    <s v="MICAEL"/>
    <s v="micael.arguello@arcelormittal.com"/>
    <x v="1"/>
    <x v="11"/>
    <s v="GRAND EST"/>
  </r>
  <r>
    <s v="BAILLEUX"/>
    <s v="JULIETTE"/>
    <m/>
    <m/>
    <s v="F"/>
    <s v="juliette.bailleux@gmail.com"/>
    <m/>
    <s v="06 41 86 68 30"/>
    <s v="43 RUE DE HAUTE"/>
    <m/>
    <m/>
    <s v="57535"/>
    <s v="BRONVAUX"/>
    <s v="France"/>
    <d v="2006-01-27T00:00:00"/>
    <n v="18"/>
    <s v="Metz (57), France"/>
    <m/>
    <s v="Oui"/>
    <s v="ADH-713324"/>
    <s v="Adhérent·e"/>
    <s v="Seul·e"/>
    <s v="PHILIPP"/>
    <s v="VALERIE"/>
    <s v="valeriephilipp2@gmail.com"/>
    <m/>
    <s v="06 33 42 30 26"/>
    <s v="BAILLEUX"/>
    <s v="JEAN"/>
    <m/>
    <x v="1"/>
    <x v="11"/>
    <s v="GRAND EST"/>
  </r>
  <r>
    <s v="BAUDRIER ROUSSEAU"/>
    <s v="LOUISON"/>
    <m/>
    <m/>
    <s v="F"/>
    <s v="etienb@yahoo.fr"/>
    <m/>
    <s v="06 20 41 04 83"/>
    <s v="94 RUE DE LA ZIEGELAU"/>
    <m/>
    <m/>
    <s v="67100"/>
    <s v="STRASBOURG"/>
    <m/>
    <d v="2012-11-30T00:00:00"/>
    <n v="11"/>
    <m/>
    <m/>
    <s v="Oui"/>
    <s v="ADH-715178"/>
    <s v="Adhérent·e"/>
    <s v="Non"/>
    <s v="BAUDRIER"/>
    <s v="ETIENNE"/>
    <s v="etienb@yahoo.fr"/>
    <s v="03 69 14 67 40"/>
    <s v="06 20 41 04 83"/>
    <s v="ROUSSEAU"/>
    <s v="EMILIE"/>
    <s v="rousseau.emilie@gmail.com"/>
    <x v="1"/>
    <x v="1"/>
    <s v="GRAND EST"/>
  </r>
  <r>
    <s v="BECK"/>
    <s v="ALEXIS"/>
    <m/>
    <m/>
    <s v="M"/>
    <m/>
    <m/>
    <m/>
    <s v="18 RUE DE BARR"/>
    <m/>
    <m/>
    <s v="67300"/>
    <s v="Schiltigheim"/>
    <s v="France"/>
    <d v="2017-09-18T00:00:00"/>
    <n v="6"/>
    <s v="Paris 1er (75), France"/>
    <m/>
    <s v="Oui"/>
    <s v="ADH-718032"/>
    <s v="Adhérent·e"/>
    <s v="Non"/>
    <s v="EA"/>
    <s v="EVA"/>
    <s v="evanealy-ea@gmail.com"/>
    <m/>
    <s v="06 27 42 14 46"/>
    <s v="BECK"/>
    <s v="NICOLAS"/>
    <s v="nicolasbeck@hotmail.fr"/>
    <x v="1"/>
    <x v="1"/>
    <s v="GRAND EST"/>
  </r>
  <r>
    <s v="BERNARD ATTIAS"/>
    <s v="ESTHER"/>
    <m/>
    <m/>
    <s v="F"/>
    <s v="esther.bernardattias@gmail.com"/>
    <m/>
    <s v="07 82 43 72 96"/>
    <s v="8 RUE BERNARD JUGAULT"/>
    <m/>
    <m/>
    <s v="92600"/>
    <s v="ASNIERES sur seine"/>
    <m/>
    <d v="2008-02-03T00:00:00"/>
    <n v="16"/>
    <s v="Levallois-Perret (92), France"/>
    <m/>
    <s v="Oui"/>
    <s v="ADH-706445"/>
    <s v="Adhérent·e"/>
    <s v="Avec JEAN PIERRE BALLENGHIEN"/>
    <s v="BERNARD"/>
    <s v="GUILLAUME"/>
    <s v="guillaume_igor_bernard@yahoo.fr"/>
    <m/>
    <s v="06 27 95 03 94"/>
    <s v="ATTIAS"/>
    <s v="JUDITH"/>
    <s v="judith.attias@gmail.com"/>
    <x v="1"/>
    <x v="2"/>
    <s v="GRAND EST"/>
  </r>
  <r>
    <s v="BONNET"/>
    <s v="JULIETTE"/>
    <m/>
    <m/>
    <s v="F"/>
    <s v="poopes@orange.fr"/>
    <m/>
    <s v="06 73 60 11 61"/>
    <s v="78 rue principale"/>
    <m/>
    <m/>
    <s v="68720"/>
    <s v="Saint-Bernard"/>
    <s v="France"/>
    <d v="2014-04-22T00:00:00"/>
    <n v="10"/>
    <s v="Mulhouse (68), France"/>
    <m/>
    <s v="Oui"/>
    <s v="ADH-704636"/>
    <s v="Adhérent·e"/>
    <s v="Non"/>
    <s v="BONNET"/>
    <s v="KARINE"/>
    <s v="poopes@orange.fr"/>
    <m/>
    <s v="06 73 60 11 61"/>
    <s v="BONNET"/>
    <s v="ARNAUD"/>
    <s v="arnaud.bonnet36@orange.fr"/>
    <x v="1"/>
    <x v="10"/>
    <s v="GRAND EST"/>
  </r>
  <r>
    <s v="BOUR"/>
    <s v="CLEMENCE"/>
    <m/>
    <m/>
    <s v="F"/>
    <s v="rahilatou_m@hotmail.com"/>
    <s v="03 55 00 84 06"/>
    <s v="06 64 00 81 41"/>
    <s v="2 RUE DU FRERE ARNOULD"/>
    <m/>
    <m/>
    <s v="57000"/>
    <s v="METZ"/>
    <s v="France"/>
    <d v="2009-06-25T00:00:00"/>
    <n v="15"/>
    <s v="Metz (57), France"/>
    <m/>
    <s v="Oui"/>
    <s v="ADH-615178"/>
    <s v="Adhérent·e"/>
    <s v="Non"/>
    <s v="BOUR"/>
    <s v="SEBASTIEN"/>
    <s v="bour_sebastien@hotmail.com"/>
    <m/>
    <s v="06 64 00 81 41"/>
    <s v="BOUR"/>
    <s v="RAHILATOU"/>
    <s v="rahilatou_m@hotmail.com"/>
    <x v="1"/>
    <x v="6"/>
    <s v="GRAND EST"/>
  </r>
  <r>
    <s v="BRUN-KLEIN"/>
    <s v="ARTHUR"/>
    <m/>
    <m/>
    <s v="M"/>
    <s v="valy.klein.vbk@gmail.com"/>
    <s v="03 03 03 03 03"/>
    <s v="06 16 82 47 01"/>
    <s v="65B SQUARE LUCIE AUBRAC"/>
    <m/>
    <m/>
    <s v="57600"/>
    <s v="FORBACH"/>
    <s v="France"/>
    <d v="2009-06-24T00:00:00"/>
    <n v="15"/>
    <s v="Forbach (57), France"/>
    <m/>
    <s v="Oui"/>
    <s v="ADH-587001"/>
    <s v="Adhérent·e"/>
    <s v="Non"/>
    <s v="BRUN-KLEIN"/>
    <s v="VALERIE"/>
    <s v="valy.klein.vbk@gmail.com"/>
    <s v="06 82 99 17 51"/>
    <m/>
    <s v="BRUN"/>
    <s v="STEPHAN"/>
    <s v="brun.stephan@gmail.com"/>
    <x v="1"/>
    <x v="9"/>
    <s v="GRAND EST"/>
  </r>
  <r>
    <s v="BUCHET"/>
    <s v="ANOUK"/>
    <m/>
    <m/>
    <s v="F"/>
    <s v="benjaminbuchet@live.fr"/>
    <m/>
    <s v="06 20 75 59 85"/>
    <s v="1 rue des tondeurs"/>
    <m/>
    <m/>
    <s v="68100"/>
    <s v="MULHOUSE"/>
    <s v="France"/>
    <d v="2017-09-17T00:00:00"/>
    <n v="6"/>
    <s v="Mulhouse (68), France"/>
    <m/>
    <s v="Oui"/>
    <s v="ADH-715556"/>
    <s v="Adhérent·e"/>
    <s v="Avec BENJAMIN BUCHET"/>
    <s v="BUCHET"/>
    <s v="BENJAMIN"/>
    <s v="benjaminbuchet@live.fr"/>
    <m/>
    <s v="06 20 75 59 85"/>
    <s v="METZ"/>
    <s v="MAÏTÉ"/>
    <s v="metz.maite@me.com"/>
    <x v="1"/>
    <x v="10"/>
    <s v="GRAND EST"/>
  </r>
  <r>
    <s v="CERATI"/>
    <s v="AXEL"/>
    <m/>
    <m/>
    <s v="M"/>
    <m/>
    <m/>
    <m/>
    <s v="1 rue de la fontaine"/>
    <m/>
    <m/>
    <s v="57480"/>
    <s v="contz-les-bains"/>
    <s v="France"/>
    <d v="2013-11-26T00:00:00"/>
    <n v="10"/>
    <s v="Thionville (57), France"/>
    <m/>
    <s v="Oui"/>
    <s v="ADH-713286"/>
    <s v="Adhérent·e"/>
    <s v="Avec EMMANUEL CERATI"/>
    <s v="CERATI"/>
    <s v="EMMANUEL"/>
    <s v="manu.cerati@hotmail.fr"/>
    <m/>
    <s v="07 86 18 11 65"/>
    <s v="POUTOT"/>
    <s v="AMELIE"/>
    <s v="amelie.poutot@laposte.net"/>
    <x v="1"/>
    <x v="11"/>
    <s v="GRAND EST"/>
  </r>
  <r>
    <s v="CHOPIN"/>
    <s v="GASPARD"/>
    <m/>
    <m/>
    <s v="M"/>
    <m/>
    <m/>
    <m/>
    <s v="16 rue jules Ferry"/>
    <m/>
    <m/>
    <s v="54220"/>
    <s v="malzeville"/>
    <s v="nancy"/>
    <d v="2014-11-18T00:00:00"/>
    <n v="9"/>
    <m/>
    <m/>
    <s v="Oui"/>
    <s v="ADH-708808"/>
    <s v="Adhérent·e"/>
    <s v="Avec CHLOE CHOPIN"/>
    <s v="CHOPIN"/>
    <s v="CHLOE"/>
    <s v="chopinblandin@gmail.com"/>
    <m/>
    <s v="06 67 33 62 62"/>
    <m/>
    <m/>
    <m/>
    <x v="1"/>
    <x v="12"/>
    <s v="GRAND EST"/>
  </r>
  <r>
    <s v="CONRAUX"/>
    <s v="MARCEAU"/>
    <m/>
    <m/>
    <s v="M"/>
    <s v="MANON-BZ@OUTLOOK.FR"/>
    <m/>
    <m/>
    <s v="15 RUE PIERRE BROSSOLETTE"/>
    <m/>
    <m/>
    <s v="10300"/>
    <s v="SAINTE SAVINE"/>
    <m/>
    <d v="2014-11-08T00:00:00"/>
    <n v="9"/>
    <s v="Troyes (10), France"/>
    <m/>
    <s v="Non"/>
    <s v="ADH-716793"/>
    <s v="Adhérent·e"/>
    <s v="Avec BOUGEL MARC STEVENIN JUSTINE GILLES ANNE CECILE"/>
    <s v="BOLZE"/>
    <s v="MANON"/>
    <s v="MANON-BZ@OUTLOOK.FR"/>
    <m/>
    <s v="06 68 78 30 39"/>
    <s v="CONRAUX"/>
    <s v="THOMAS"/>
    <s v="JENAIPAS@CESTMONDROIT.XX"/>
    <x v="1"/>
    <x v="8"/>
    <s v="GRAND EST"/>
  </r>
  <r>
    <s v="COURTOIS"/>
    <s v="CLÉMENCE"/>
    <m/>
    <m/>
    <s v="F"/>
    <s v="delphdiot@gmail.com"/>
    <m/>
    <s v="06 63 59 82 13"/>
    <s v="12 IMPASSE DES HORTENSIAS"/>
    <m/>
    <m/>
    <s v="57180"/>
    <s v="TERVILLE"/>
    <s v="France"/>
    <d v="2008-09-20T00:00:00"/>
    <n v="15"/>
    <s v="Thionville (57), France"/>
    <m/>
    <s v="Oui"/>
    <s v="ADH-615179"/>
    <s v="Adhérent·e"/>
    <s v="Seul·e"/>
    <s v="COURTOIS"/>
    <s v="ARNAUD"/>
    <s v="arnaud.courtois@gmail.com"/>
    <m/>
    <s v="06 50 18 40 63"/>
    <s v="COURTOIS"/>
    <s v="DELPHINE"/>
    <s v="delphdiot@gmail.com"/>
    <x v="1"/>
    <x v="6"/>
    <s v="GRAND EST"/>
  </r>
  <r>
    <s v="COUSIN"/>
    <s v="SIMON"/>
    <m/>
    <m/>
    <s v="M"/>
    <m/>
    <m/>
    <m/>
    <s v="7 RUE MAZARIN"/>
    <m/>
    <m/>
    <s v="57000"/>
    <s v="METZ"/>
    <s v="France"/>
    <d v="2009-10-13T00:00:00"/>
    <n v="14"/>
    <s v="Metz (57), France"/>
    <m/>
    <s v="Oui"/>
    <s v="ADH-600846"/>
    <s v="Adhérent·e"/>
    <s v="Avec MARC SCHNEIDER"/>
    <s v="COUSIN"/>
    <s v="LUDOVIC"/>
    <s v="famille.cousin.descamps@gmail.com"/>
    <m/>
    <s v="06 76 50 97 76"/>
    <s v="COUSIN"/>
    <s v="ELISE"/>
    <s v="famille.cousin.descamps@gmail.com"/>
    <x v="1"/>
    <x v="5"/>
    <s v="GRAND EST"/>
  </r>
  <r>
    <s v="COUX DIT CASTILLE"/>
    <s v="PABLO"/>
    <m/>
    <m/>
    <s v="M"/>
    <s v="clemencebucher@hotmail.com"/>
    <m/>
    <m/>
    <s v="2 Rue Baldung-Grien"/>
    <m/>
    <m/>
    <s v="67000"/>
    <s v="Strasbourg"/>
    <s v="France"/>
    <d v="2007-09-06T00:00:00"/>
    <n v="16"/>
    <s v="Paris 12ème (75), France"/>
    <m/>
    <s v="Oui"/>
    <s v="ADH-704844"/>
    <s v="Adhérent·e"/>
    <s v="Seul·e"/>
    <s v="BUCHER"/>
    <s v="CLÉMENCE"/>
    <s v="clemencebucher@hotmail.com"/>
    <s v="09 52 87 41 29"/>
    <s v="06 09 05 20 97"/>
    <s v="COUX DIT CASTILLE"/>
    <s v="THOMAS"/>
    <s v="thomascoux@hotmail.com"/>
    <x v="1"/>
    <x v="1"/>
    <s v="GRAND EST"/>
  </r>
  <r>
    <s v="DAMAY"/>
    <s v="ANAIS"/>
    <m/>
    <m/>
    <s v="F"/>
    <m/>
    <m/>
    <m/>
    <s v="18, RUE DU MOULIN"/>
    <m/>
    <m/>
    <s v="57140"/>
    <s v="SAULNY"/>
    <s v="France"/>
    <d v="2008-10-13T00:00:00"/>
    <n v="15"/>
    <s v="Metz (57), France"/>
    <m/>
    <s v="Oui"/>
    <s v="ADH-606952"/>
    <s v="Adhérent·e"/>
    <s v="Non"/>
    <s v="DAMAY"/>
    <s v="NICOLAS"/>
    <s v="damay.nicolas@hotmail.fr"/>
    <m/>
    <s v="06 61 01 12 37"/>
    <s v="DAMAY"/>
    <s v="AUDREY"/>
    <s v="audrey-barthelemy@hotmail.fr"/>
    <x v="1"/>
    <x v="5"/>
    <s v="GRAND EST"/>
  </r>
  <r>
    <s v="DAUTEL"/>
    <s v="NOAH"/>
    <m/>
    <m/>
    <s v="M"/>
    <s v="noah.dautel@hotmail.com"/>
    <m/>
    <s v="07 83 73 23 60"/>
    <s v="2  C RUE DES COTEAUX"/>
    <m/>
    <m/>
    <s v="57070"/>
    <s v="ST JULIEN LES METZ"/>
    <s v="France"/>
    <d v="2008-11-10T00:00:00"/>
    <n v="15"/>
    <s v="vietnam, Vietnam"/>
    <m/>
    <s v="Oui"/>
    <s v="ADH-586541"/>
    <s v="Adhérent·e"/>
    <s v="Seul·e"/>
    <s v="DAUTEL"/>
    <s v="GAUTIER"/>
    <s v="gautier.dautel@hotmail.fr"/>
    <m/>
    <s v="06 63 76 16 37"/>
    <s v="DAUTEL"/>
    <s v="FANNY"/>
    <s v="fannygiuliato@hotmail.fr"/>
    <x v="1"/>
    <x v="6"/>
    <s v="GRAND EST"/>
  </r>
  <r>
    <s v="DIEZ"/>
    <s v="PAUL"/>
    <m/>
    <m/>
    <s v="M"/>
    <s v="lucetsteph@hotmail.fr"/>
    <m/>
    <s v="06 45 80 82 04"/>
    <s v="9 rue Grosdidier de Mâtons"/>
    <m/>
    <m/>
    <s v="57070"/>
    <s v="Metz"/>
    <m/>
    <d v="2015-04-11T00:00:00"/>
    <n v="9"/>
    <s v="Peltre (57), France"/>
    <m/>
    <s v="Oui"/>
    <s v="ADH-705451"/>
    <s v="Adhérent·e"/>
    <s v="Seul·e"/>
    <s v="DIEZ"/>
    <s v="STÉPHANIE"/>
    <s v="lucetsteph@hotmail.fr"/>
    <m/>
    <s v="06 45 80 82 04"/>
    <s v="DIEZ"/>
    <s v="LUC"/>
    <s v="lucetsteph@hotmail.fr"/>
    <x v="1"/>
    <x v="6"/>
    <s v="GRAND EST"/>
  </r>
  <r>
    <s v="DOROMBO"/>
    <s v="XAVIER"/>
    <m/>
    <m/>
    <s v="M"/>
    <s v="ymaissara@yahoo.fr"/>
    <s v="03 25 25 09 70"/>
    <s v="06 30 64 71 52"/>
    <s v="78 avenue de la Liberté"/>
    <m/>
    <m/>
    <s v="10100"/>
    <s v="Romilly sur Seine"/>
    <m/>
    <d v="2013-08-19T00:00:00"/>
    <n v="11"/>
    <s v="ST Denis"/>
    <m/>
    <s v="Oui"/>
    <s v="ADH-711195"/>
    <s v="Adhérent·e"/>
    <s v="Non"/>
    <s v="DOROMBO"/>
    <s v="MAISSARA"/>
    <s v="ymaissara@yahoo.fr"/>
    <s v="03 25 25 09 70"/>
    <s v="06 30 64 71 52"/>
    <s v="DOROMBO"/>
    <s v="YVES"/>
    <s v="ydorombo@yahoo.fr"/>
    <x v="1"/>
    <x v="8"/>
    <s v="GRAND EST"/>
  </r>
  <r>
    <s v="DROUOT"/>
    <s v="LILI ROSE"/>
    <m/>
    <m/>
    <s v="F"/>
    <s v="gaelledrouot74@gmail.com"/>
    <m/>
    <s v="06 64 98 50 96"/>
    <s v="1 RUE GUY MAUPASSANT"/>
    <m/>
    <m/>
    <s v="10120"/>
    <s v="SAINT ANDRE LES VERGERS"/>
    <s v="France"/>
    <d v="2011-12-29T00:00:00"/>
    <n v="12"/>
    <s v="Troyes (10), France"/>
    <m/>
    <s v="Oui"/>
    <s v="ADH-705999"/>
    <s v="Adhérent·e"/>
    <s v="Avec PARENTS PARENTS"/>
    <s v="DROUOT"/>
    <s v="GAELLE"/>
    <s v="gaelledrouot74@gmail.com"/>
    <m/>
    <s v="06 64 98 50 96"/>
    <s v="DROUOT"/>
    <s v="CHRISTOPHER"/>
    <s v="christopher.drouot@orange.fr"/>
    <x v="1"/>
    <x v="2"/>
    <s v="GRAND EST"/>
  </r>
  <r>
    <s v="FIGENWALD"/>
    <s v="JULES"/>
    <m/>
    <m/>
    <s v="M"/>
    <m/>
    <m/>
    <m/>
    <s v="6 rue du Bitzen"/>
    <m/>
    <m/>
    <s v="68720"/>
    <s v="Heidwiller"/>
    <s v="France"/>
    <d v="2017-08-14T00:00:00"/>
    <n v="7"/>
    <s v="Mulhouse (68), France"/>
    <m/>
    <s v="Oui"/>
    <s v="ADH-714864"/>
    <s v="Adhérent·e"/>
    <s v="Non"/>
    <s v="FIGENWALD"/>
    <s v="FANNY"/>
    <s v="fanny_hascher@hotmail.com"/>
    <m/>
    <s v="06 65 32 38 60"/>
    <s v="FIGENWALD"/>
    <s v="JEAN"/>
    <s v="jean_figenwald@hotmail.com"/>
    <x v="1"/>
    <x v="10"/>
    <s v="GRAND EST"/>
  </r>
  <r>
    <s v="GARDES"/>
    <s v="NOAH"/>
    <m/>
    <m/>
    <s v="M"/>
    <s v="celnicoandco@gmail.com"/>
    <m/>
    <s v="06 95 17 22 82"/>
    <s v="19 rue des Ateliers"/>
    <m/>
    <m/>
    <s v="57950"/>
    <s v="MONTIGNY LES METZ"/>
    <s v="France"/>
    <d v="2011-12-25T00:00:00"/>
    <n v="12"/>
    <s v="DJIBOUTI"/>
    <m/>
    <s v="Oui"/>
    <s v="ADH-703411"/>
    <s v="Adhérent·e"/>
    <s v="Avec CELINE GARDES"/>
    <s v="GARDES"/>
    <s v="CÉLINE"/>
    <s v="celnicoandco@gmail.com"/>
    <m/>
    <s v="06 95 17 22 82"/>
    <s v="GARDES"/>
    <s v="NICOLAS"/>
    <m/>
    <x v="1"/>
    <x v="4"/>
    <s v="GRAND EST"/>
  </r>
  <r>
    <s v="GENEVRIER"/>
    <s v="LEO"/>
    <m/>
    <m/>
    <s v="M"/>
    <s v="mandy.grumier@aol.com"/>
    <m/>
    <s v="06 88 63 02 74"/>
    <s v="29 rue de la république"/>
    <m/>
    <m/>
    <s v="10390"/>
    <s v="verrières"/>
    <m/>
    <d v="2012-04-17T00:00:00"/>
    <n v="12"/>
    <s v="Troyes (10), France"/>
    <m/>
    <s v="Oui"/>
    <s v="ADH-704040"/>
    <s v="Adhérent·e"/>
    <s v="Avec LES PARENTS LES PARENTS"/>
    <s v="GRUMIER"/>
    <s v="MANDY"/>
    <s v="mandy.grumier@aol.com"/>
    <m/>
    <s v="06 88 63 02 74"/>
    <s v="GENEVRIER"/>
    <s v="LOIC"/>
    <s v="genevrierloicAAA@orange.fr"/>
    <x v="1"/>
    <x v="2"/>
    <s v="GRAND EST"/>
  </r>
  <r>
    <s v="GILL"/>
    <s v="AURELIEN"/>
    <m/>
    <m/>
    <s v="M"/>
    <s v="aline_hettinger@hotmail.com"/>
    <m/>
    <s v="07 68 19 87 81"/>
    <s v="3 RUE CANROBERT"/>
    <m/>
    <m/>
    <s v="57050"/>
    <s v="METZ"/>
    <s v="France"/>
    <d v="2011-03-09T00:00:00"/>
    <n v="13"/>
    <s v="Thionville (57), France"/>
    <m/>
    <s v="Oui"/>
    <s v="ADH-612285"/>
    <s v="Adhérent·e"/>
    <s v="Avec ALINE GILL"/>
    <s v="GILL"/>
    <s v="CHRISTOPHE"/>
    <s v="gill.christophe@gmail.com"/>
    <m/>
    <s v="06 09 55 77 19"/>
    <s v="GILL"/>
    <s v="ALINE"/>
    <s v="aline_hettinger@hotmail.com"/>
    <x v="1"/>
    <x v="4"/>
    <s v="GRAND EST"/>
  </r>
  <r>
    <s v="GILSON"/>
    <s v="ALÉXIS"/>
    <m/>
    <m/>
    <s v="M"/>
    <s v="gilson.alexis.22@gmail.com"/>
    <s v="03 82 83 99 20"/>
    <s v="06 52 86 56 56"/>
    <s v="19 RUELLE AUX LOUPS"/>
    <m/>
    <m/>
    <s v="57935"/>
    <s v="LUTTANGE"/>
    <s v="France"/>
    <d v="2005-09-22T00:00:00"/>
    <n v="18"/>
    <s v="Metz (57), France"/>
    <m/>
    <s v="Oui"/>
    <s v="ADH-560697"/>
    <s v="Adhérent·e"/>
    <s v="Non"/>
    <m/>
    <m/>
    <m/>
    <m/>
    <m/>
    <m/>
    <m/>
    <m/>
    <x v="1"/>
    <x v="11"/>
    <s v="GRAND EST"/>
  </r>
  <r>
    <s v="GREDER"/>
    <s v="ROBIN"/>
    <m/>
    <m/>
    <s v="M"/>
    <s v="barbara.lacassie@gmail.com"/>
    <m/>
    <s v="06 10 53 11 24"/>
    <s v="1 rue de l'école Centrale"/>
    <m/>
    <m/>
    <s v="57160"/>
    <s v="ROZERIEULLES"/>
    <s v="France"/>
    <d v="2013-06-28T00:00:00"/>
    <n v="11"/>
    <m/>
    <m/>
    <s v="Oui"/>
    <s v="ADH-715886"/>
    <s v="Adhérent·e"/>
    <s v="Avec MARTIN GREDER"/>
    <s v="LACASSIE"/>
    <s v="BARBARA"/>
    <m/>
    <m/>
    <s v="06 10 53 11 24"/>
    <s v="GREDER"/>
    <s v="MARTIN"/>
    <m/>
    <x v="1"/>
    <x v="4"/>
    <s v="GRAND EST"/>
  </r>
  <r>
    <s v="GRIESMAR"/>
    <s v="KARL"/>
    <m/>
    <m/>
    <s v="M"/>
    <m/>
    <m/>
    <m/>
    <s v="4, RESIDENCE LE MOULIN"/>
    <m/>
    <m/>
    <s v="57270"/>
    <s v="RICHEMONT [57270]"/>
    <s v="France"/>
    <d v="2008-04-05T00:00:00"/>
    <n v="16"/>
    <s v="Thionville (57), France"/>
    <m/>
    <s v="Oui"/>
    <s v="ADH-608150"/>
    <s v="Adhérent·e"/>
    <s v="Avec ANTOINE PUJOS"/>
    <s v="RISTOCK"/>
    <s v="DANILA"/>
    <s v="danila.ristock@free.fr"/>
    <m/>
    <s v="06 14 03 71 39"/>
    <s v="GRIESMAR"/>
    <s v="MAXIME"/>
    <s v="inconnu@hotmail.com"/>
    <x v="1"/>
    <x v="5"/>
    <s v="GRAND EST"/>
  </r>
  <r>
    <s v="HATON"/>
    <s v="LUCIEN"/>
    <m/>
    <m/>
    <s v="M"/>
    <m/>
    <m/>
    <m/>
    <s v="5 RUE DE NANCY"/>
    <m/>
    <m/>
    <s v="54670"/>
    <s v="CUSTINES"/>
    <s v="France"/>
    <d v="2016-11-29T00:00:00"/>
    <n v="7"/>
    <s v="Nancy (54), France"/>
    <m/>
    <s v="Oui"/>
    <s v="ADH-712014"/>
    <s v="Adhérent·e"/>
    <s v="Avec FAMILLE DURAIN &amp; HATON"/>
    <s v="DURAIN"/>
    <s v="CHARLENE"/>
    <s v="charlene.durain@bbox.fr"/>
    <m/>
    <s v="06 66 37 36 59"/>
    <s v="HATON"/>
    <s v="NICOLAS"/>
    <s v="NICOATON@HOTMAIL.COM"/>
    <x v="1"/>
    <x v="12"/>
    <s v="GRAND EST"/>
  </r>
  <r>
    <s v="HAYME"/>
    <s v="ELISE"/>
    <m/>
    <m/>
    <s v="F"/>
    <s v="juliekauffmann@hotmail.fr"/>
    <m/>
    <s v="06 20 03 36 01"/>
    <s v="3 RUE DU DR LÉON MANGENEY"/>
    <m/>
    <m/>
    <s v="68100"/>
    <s v="MULHOUSE"/>
    <s v="France"/>
    <d v="2013-07-07T00:00:00"/>
    <n v="11"/>
    <s v="Colmar (68), France"/>
    <m/>
    <s v="Oui"/>
    <s v="ADH-615352"/>
    <s v="Adhérent·e"/>
    <s v="Seul·e"/>
    <s v="HAYME"/>
    <s v="JULIE"/>
    <s v="juliekauffmann@hotmail.fr"/>
    <m/>
    <s v="06 20 03 36 01"/>
    <s v="HAYME"/>
    <s v="JACQUES"/>
    <s v="jacqueshayme@hotmail.fr"/>
    <x v="1"/>
    <x v="10"/>
    <s v="GRAND EST"/>
  </r>
  <r>
    <s v="HODGSON"/>
    <s v="THOMAS"/>
    <m/>
    <m/>
    <s v="M"/>
    <s v="tommy.w.hodgson@gmail.com"/>
    <s v="03 82 54 30 89"/>
    <s v="06 66 23 08 26"/>
    <s v="36 RUE DE LA MAIRIE"/>
    <m/>
    <m/>
    <s v="57920"/>
    <s v="KEMPLICH"/>
    <s v="France"/>
    <d v="2006-06-13T00:00:00"/>
    <n v="18"/>
    <s v="Thionville (57), France"/>
    <m/>
    <s v="Oui"/>
    <s v="ADH-588599"/>
    <s v="Adhérent·e"/>
    <s v="Avec CHRISTOPHER HODGSON"/>
    <s v="HODGSON"/>
    <s v="PAUL"/>
    <s v="c.paul.hodgson@gmail.com"/>
    <s v="03 82 54 30 89"/>
    <s v="06 40 18 51 49"/>
    <s v="HODGSON"/>
    <s v="HELEN"/>
    <s v="helen.hodgson@gmail.com"/>
    <x v="1"/>
    <x v="11"/>
    <s v="GRAND EST"/>
  </r>
  <r>
    <s v="HOFFMANN"/>
    <s v="ALEXANDRE"/>
    <m/>
    <m/>
    <s v="M"/>
    <s v="hoffmann.tatiana@gmail.com"/>
    <m/>
    <s v="06 08 05 83 04"/>
    <s v="14 rue de la commanderie"/>
    <m/>
    <m/>
    <s v="57070"/>
    <s v="METZ"/>
    <s v="France"/>
    <d v="2011-10-10T00:00:00"/>
    <n v="12"/>
    <s v="Neuilly-sur-Seine (92), France"/>
    <m/>
    <s v="Oui"/>
    <s v="ADH-600237"/>
    <s v="Adhérent·e"/>
    <s v="Seul·e"/>
    <s v="HOFFMANN"/>
    <s v="VINCENT"/>
    <s v="vincent.g.hoffmann@hotmail.com"/>
    <m/>
    <s v="06 88 06 85 13"/>
    <s v="HOFFMANN"/>
    <s v="TATIANA"/>
    <s v="hoffmann.tatiana@gmail.com"/>
    <x v="1"/>
    <x v="6"/>
    <s v="GRAND EST"/>
  </r>
  <r>
    <s v="HOLLWEQUE"/>
    <s v="PHILIPPE"/>
    <m/>
    <m/>
    <s v="M"/>
    <m/>
    <m/>
    <m/>
    <s v="20A rue du Général de Gaulle"/>
    <m/>
    <m/>
    <s v="68870"/>
    <s v="Bartenheim"/>
    <m/>
    <d v="2011-04-12T00:00:00"/>
    <n v="13"/>
    <s v="Saint Louis"/>
    <m/>
    <s v="Oui"/>
    <s v="ADH-716495"/>
    <s v="Adhérent·e"/>
    <s v="Avec LIONEL . VALÉRIE WURTZ"/>
    <s v="HOLLWEQUE"/>
    <s v="OLIVIER"/>
    <s v="olivier.ho@gmail.com"/>
    <m/>
    <s v="06 42 13 93 96"/>
    <s v="ROCHO GONCALVES"/>
    <s v="AMANDA"/>
    <s v="amandahollweque@me.com"/>
    <x v="1"/>
    <x v="10"/>
    <s v="GRAND EST"/>
  </r>
  <r>
    <s v="IZZARD"/>
    <s v="WILLIAM"/>
    <m/>
    <m/>
    <s v="M"/>
    <s v="williamizz@icloud.com"/>
    <s v="06 16 60 73 67"/>
    <s v="+352 661 741 018"/>
    <s v="16 rue de la mine"/>
    <m/>
    <m/>
    <s v="57330"/>
    <s v="Vollemerange-les-mines"/>
    <m/>
    <d v="2006-12-26T00:00:00"/>
    <n v="17"/>
    <s v="Thionville (57), France"/>
    <m/>
    <s v="Oui"/>
    <s v="ADH-707016"/>
    <s v="Adhérent·e"/>
    <s v="Seul·e"/>
    <s v="PIERRE"/>
    <s v="ANGELIQUE"/>
    <s v="angelp57@hotmail.com"/>
    <s v="06 16 60 73 37"/>
    <s v="+352 661 741 018"/>
    <s v="IZZARD"/>
    <s v="BENOIT"/>
    <s v="angelp57@hotmail.com"/>
    <x v="1"/>
    <x v="11"/>
    <s v="GRAND EST"/>
  </r>
  <r>
    <s v="KAISER"/>
    <s v="LOLA"/>
    <m/>
    <m/>
    <s v="F"/>
    <m/>
    <m/>
    <m/>
    <s v="13 rue de la neige"/>
    <m/>
    <m/>
    <s v="68100"/>
    <s v="MULHOUSE"/>
    <m/>
    <d v="2013-03-06T00:00:00"/>
    <n v="11"/>
    <s v="Mulhouse (68), France"/>
    <m/>
    <s v="Oui"/>
    <s v="ADH-709250"/>
    <s v="Adhérent·e"/>
    <s v="Avec DOMINIQUE SAUTTER"/>
    <s v="SAUTTER"/>
    <s v="VIRGINIE"/>
    <s v="sauttervivi@gmail.com"/>
    <m/>
    <s v="06 80 99 88 87"/>
    <s v="KAISER"/>
    <s v="MICHAEL"/>
    <s v="michaelkaiser637@gmail.com"/>
    <x v="1"/>
    <x v="10"/>
    <s v="GRAND EST"/>
  </r>
  <r>
    <s v="KLEIN"/>
    <s v="GABRIEL"/>
    <m/>
    <m/>
    <s v="M"/>
    <m/>
    <m/>
    <m/>
    <s v="7 rue de la foret"/>
    <m/>
    <m/>
    <s v="68890"/>
    <s v="Reguisheim"/>
    <s v="France"/>
    <d v="2014-02-14T00:00:00"/>
    <n v="10"/>
    <s v="Mulhouse (68), France"/>
    <m/>
    <s v="Oui"/>
    <s v="ADH-709228"/>
    <s v="Adhérent·e"/>
    <s v="Non"/>
    <s v="KLEIN"/>
    <s v="ALINE"/>
    <s v="salsalyne@hotmail.fr"/>
    <m/>
    <s v="06 87 28 94 96"/>
    <s v="KLEIN"/>
    <s v="MARTIN"/>
    <s v="salsalyne@hotmail.fr"/>
    <x v="1"/>
    <x v="0"/>
    <s v="GRAND EST"/>
  </r>
  <r>
    <s v="KOLODZIES"/>
    <s v="ERIK"/>
    <m/>
    <m/>
    <s v="M"/>
    <m/>
    <m/>
    <m/>
    <s v="25 ALLEE DES ACACIAS"/>
    <m/>
    <m/>
    <s v="57050"/>
    <s v="LE BAN ST MARTIN"/>
    <s v="France"/>
    <d v="2015-08-08T00:00:00"/>
    <n v="9"/>
    <s v="Fréjus (83), France"/>
    <m/>
    <s v="Oui"/>
    <s v="ADH-716820"/>
    <s v="Adhérent·e"/>
    <s v="Non"/>
    <s v="KOLODZIEJ"/>
    <s v="SEBASTIEN"/>
    <s v="KOLODZIEJ.S@hotmail.fr"/>
    <m/>
    <s v="06 13 36 18 68"/>
    <s v="KOLODZIES"/>
    <s v="LAURE"/>
    <m/>
    <x v="1"/>
    <x v="4"/>
    <s v="GRAND EST"/>
  </r>
  <r>
    <s v="KOMLANZ"/>
    <s v="CLEMENT"/>
    <m/>
    <m/>
    <s v="M"/>
    <m/>
    <m/>
    <s v="06 27 08 27 33"/>
    <s v="114 RUE DE FRESCATY"/>
    <m/>
    <m/>
    <s v="57155"/>
    <s v="MARLY"/>
    <s v="France"/>
    <d v="2011-01-17T00:00:00"/>
    <n v="13"/>
    <s v="Metz (57), France"/>
    <m/>
    <s v="Oui"/>
    <s v="ADH-613631"/>
    <s v="Adhérent·e"/>
    <s v="Avec THOMAS REINERT"/>
    <s v="REGNIER"/>
    <s v="HÉLÈNE"/>
    <s v="hel.regnier@gmail.com"/>
    <m/>
    <s v="06 27 08 27 33"/>
    <s v="KOMLANZ"/>
    <s v="PATRICE"/>
    <s v="pat-kom@hotmail.fr"/>
    <x v="1"/>
    <x v="11"/>
    <s v="GRAND EST"/>
  </r>
  <r>
    <s v="LABBÉ"/>
    <s v="IRÈNE"/>
    <m/>
    <m/>
    <s v="F"/>
    <s v="labbe-laurence@hotmail.fr"/>
    <s v="06 03 40 78 72"/>
    <s v="06 03 40 78 72"/>
    <s v="56 rue des Capucins"/>
    <m/>
    <m/>
    <s v="67200"/>
    <s v="Strasbourg"/>
    <s v="France"/>
    <d v="2013-01-07T00:00:00"/>
    <n v="11"/>
    <m/>
    <m/>
    <s v="Oui"/>
    <s v="ADH-713352"/>
    <s v="Adhérent·e"/>
    <s v="Non"/>
    <s v="LABBÉ"/>
    <s v="MICHAEL"/>
    <s v="labbemichael@hotmail.fr"/>
    <m/>
    <s v="06 03 40 78 72"/>
    <s v="LABBÉ"/>
    <s v="LAURENCE"/>
    <s v="labbe-laurence@hotmail.fr"/>
    <x v="1"/>
    <x v="1"/>
    <s v="GRAND EST"/>
  </r>
  <r>
    <s v="LALOT"/>
    <s v="ALBAN"/>
    <m/>
    <m/>
    <s v="M"/>
    <s v="alban.lalot@gmail.com"/>
    <m/>
    <s v="06 69 12 82 45"/>
    <s v="13 Rue de Soultzmatt"/>
    <m/>
    <m/>
    <s v="67100"/>
    <s v="Strasbourg"/>
    <s v="France"/>
    <d v="2007-10-23T00:00:00"/>
    <n v="16"/>
    <s v="Schiltigheim (67), France"/>
    <m/>
    <s v="Oui"/>
    <s v="ADH-707096"/>
    <s v="Adhérent·e"/>
    <s v="Seul·e"/>
    <s v="LALOT"/>
    <s v="ANGÉLIQUE"/>
    <s v="angelique.lalot@gmail.com"/>
    <m/>
    <s v="06 18 04 78 33"/>
    <s v="LALOT"/>
    <s v="ANTOINE"/>
    <s v="antoine.lalot@gmail.com"/>
    <x v="1"/>
    <x v="1"/>
    <s v="GRAND EST"/>
  </r>
  <r>
    <s v="LECOUTURIER"/>
    <s v="EDGAR"/>
    <m/>
    <m/>
    <s v="M"/>
    <s v="celinebesanjon@hotmail.fr"/>
    <m/>
    <s v="06 48 14 05 55"/>
    <s v="67 rue Louis Blanc"/>
    <m/>
    <m/>
    <s v="10300"/>
    <s v="SAINTE SAVINE"/>
    <m/>
    <d v="2012-11-11T00:00:00"/>
    <n v="11"/>
    <s v="Troyes (10), France"/>
    <m/>
    <s v="Oui"/>
    <s v="ADH-708980"/>
    <s v="Adhérent·e"/>
    <s v="Avec PARENT PARENT"/>
    <s v="BASANJON"/>
    <s v="CELINE"/>
    <s v="celinebasanjon@hotmail.fr"/>
    <m/>
    <s v="06 48 14 05 55"/>
    <s v="LECOUTURIER"/>
    <s v="XAVIER"/>
    <s v="xl69@hotmail.fr"/>
    <x v="1"/>
    <x v="8"/>
    <s v="GRAND EST"/>
  </r>
  <r>
    <s v="LITZENBURGER"/>
    <s v="PAUL"/>
    <m/>
    <m/>
    <s v="M"/>
    <m/>
    <m/>
    <m/>
    <s v="51, rue principale"/>
    <m/>
    <m/>
    <s v="57200"/>
    <s v="Bliesbruck"/>
    <m/>
    <d v="2013-06-06T00:00:00"/>
    <n v="11"/>
    <s v="Strasbourg (67), France"/>
    <m/>
    <s v="Oui"/>
    <s v="ADH-713379"/>
    <s v="Adhérent·e"/>
    <s v="Non"/>
    <s v="LITZENBURGER"/>
    <s v="CHRISTELLE"/>
    <s v="christelle.litz@icloud.com"/>
    <m/>
    <m/>
    <m/>
    <m/>
    <m/>
    <x v="1"/>
    <x v="9"/>
    <s v="GRAND EST"/>
  </r>
  <r>
    <s v="MATHIEU"/>
    <s v="GABRIEL"/>
    <m/>
    <m/>
    <s v="M"/>
    <m/>
    <s v="06 62 08 27 31"/>
    <m/>
    <s v="5 rue des Marchands"/>
    <m/>
    <m/>
    <s v="68 000"/>
    <s v="Colmar"/>
    <s v="France"/>
    <d v="2016-01-02T00:00:00"/>
    <n v="8"/>
    <s v="Colmar (68), France"/>
    <m/>
    <s v="Oui"/>
    <s v="ADH-706391"/>
    <s v="Adhérent·e"/>
    <s v="Avec MARIE-CECILE CAMPAIGNOLE - JEROME MIRAIL - JOHANA MEYNIER"/>
    <s v="MATHIEU"/>
    <s v="CHARLOTTE"/>
    <s v="charlotte.clog@noos.fr"/>
    <m/>
    <s v="06 62 08 27 31"/>
    <s v="MATHIEU"/>
    <s v="ALEXANDRE"/>
    <s v="alexandre.mathieu0@gmail.com"/>
    <x v="1"/>
    <x v="10"/>
    <s v="GRAND EST"/>
  </r>
  <r>
    <s v="MOEGLIN"/>
    <s v="ARTHUR"/>
    <m/>
    <m/>
    <s v="M"/>
    <m/>
    <m/>
    <s v="06 82 60 56 41"/>
    <s v="36 route de rouffach"/>
    <m/>
    <m/>
    <s v="68500"/>
    <s v="Issenheim"/>
    <s v="France"/>
    <d v="2011-09-20T00:00:00"/>
    <n v="12"/>
    <s v="Mulhouse (68), France"/>
    <m/>
    <s v="Oui"/>
    <s v="ADH-709030"/>
    <s v="Adhérent·e"/>
    <s v="Avec IDEM LES PARENTS MOELGIN - STRAUB"/>
    <s v="MOEGLIN"/>
    <s v="LOIC"/>
    <s v="loic.moeglin@laposte.net"/>
    <m/>
    <s v="06 82 60 56 41"/>
    <s v="STRAUB"/>
    <s v="MELANIE"/>
    <s v="melanie.straub@laposte.net"/>
    <x v="1"/>
    <x v="0"/>
    <s v="GRAND EST"/>
  </r>
  <r>
    <s v="MONCHABLON"/>
    <s v="ROBIN"/>
    <m/>
    <m/>
    <s v="M"/>
    <m/>
    <m/>
    <m/>
    <s v="33 bld de Scarpone"/>
    <m/>
    <m/>
    <s v="54000"/>
    <s v="nancy"/>
    <s v="France"/>
    <d v="2016-02-12T00:00:00"/>
    <n v="8"/>
    <m/>
    <m/>
    <s v="Oui"/>
    <s v="ADH-709690"/>
    <s v="Adhérent·e"/>
    <s v="Avec CHLOE REPPEL"/>
    <s v="MONCHABLON"/>
    <s v="JONATHAN"/>
    <s v="jmonchablon@gmail.com"/>
    <m/>
    <s v="06 82 56 90 14"/>
    <s v="REPPEL"/>
    <s v="CHLOE"/>
    <s v="chloereppel@gmail.com"/>
    <x v="1"/>
    <x v="12"/>
    <s v="GRAND EST"/>
  </r>
  <r>
    <s v="NEESER"/>
    <s v="OSCAR"/>
    <m/>
    <m/>
    <s v="M"/>
    <s v="audreymondolot@gmail.com"/>
    <m/>
    <s v="06 64 25 50 45"/>
    <s v="33 RUE DES NOES"/>
    <m/>
    <m/>
    <s v="10300"/>
    <s v="STE SAVINE"/>
    <s v="France"/>
    <d v="2011-08-01T00:00:00"/>
    <n v="13"/>
    <s v="Romilly-sur-Seine (10), France"/>
    <m/>
    <s v="Oui"/>
    <s v="ADH-612195"/>
    <s v="Adhérent·e"/>
    <s v="Avec PARENTS PARENTS"/>
    <s v="NEESER"/>
    <s v="MARTIN"/>
    <s v="martinneeser@gmail.com"/>
    <m/>
    <s v="06 22 75 06 05"/>
    <s v="MONDOLOT"/>
    <s v="AUDREY"/>
    <s v="audreymondolot@gmail.com"/>
    <x v="1"/>
    <x v="8"/>
    <s v="GRAND EST"/>
  </r>
  <r>
    <s v="PAPIN"/>
    <s v="EWEN"/>
    <m/>
    <m/>
    <s v="M"/>
    <s v="kixe@hotmail.fr"/>
    <m/>
    <m/>
    <s v="3 rue Pasteur"/>
    <m/>
    <m/>
    <s v="10800"/>
    <s v="SAINT JULIEN LES VILLAS"/>
    <m/>
    <d v="2011-06-11T00:00:00"/>
    <n v="13"/>
    <s v="Troyes (10), France"/>
    <m/>
    <s v="Oui"/>
    <s v="ADH-704041"/>
    <s v="Adhérent·e"/>
    <s v="Non"/>
    <s v="PAPIN"/>
    <s v="SANDRINE"/>
    <s v="kixe@hotmail.fr"/>
    <m/>
    <s v="06 13 59 38 57"/>
    <s v="PAPIN"/>
    <s v="SYLVAIN"/>
    <s v="hikar@hotmail.fr"/>
    <x v="1"/>
    <x v="2"/>
    <s v="GRAND EST"/>
  </r>
  <r>
    <s v="PASTEUR-VILLAIN"/>
    <s v="ALEXIS"/>
    <m/>
    <m/>
    <s v="M"/>
    <s v="clemence.islande90@gmail.com"/>
    <m/>
    <s v="06 17 77 65 23"/>
    <s v="391 rue de Novillard"/>
    <m/>
    <m/>
    <s v="90400"/>
    <s v="VEZELOIS"/>
    <m/>
    <d v="2010-07-17T00:00:00"/>
    <n v="14"/>
    <s v="Belfort (90), France"/>
    <m/>
    <s v="Oui"/>
    <s v="ADH-715113"/>
    <s v="Adhérent·e"/>
    <s v="Avec CEDRIC OU CLEMENCE CHARLES"/>
    <s v="CHARLES"/>
    <s v="CLÉMENCE"/>
    <s v="clemence.islande90@gmail.com"/>
    <m/>
    <s v="06 17 77 65 23"/>
    <m/>
    <m/>
    <m/>
    <x v="1"/>
    <x v="10"/>
    <s v="GRAND EST"/>
  </r>
  <r>
    <s v="PEREZ"/>
    <s v="ALOÏS"/>
    <m/>
    <m/>
    <s v="M"/>
    <s v="lordolvis67@gmail.com"/>
    <m/>
    <s v="06 75 88 49 25"/>
    <s v="26 Rue de Lautenbach"/>
    <m/>
    <m/>
    <s v="67100"/>
    <s v="Strasbourg"/>
    <s v="France"/>
    <d v="2007-08-07T00:00:00"/>
    <n v="17"/>
    <s v="Schiltigheim (67), France"/>
    <m/>
    <s v="Oui"/>
    <s v="ADH-706783"/>
    <s v="Adhérent·e"/>
    <s v="Seul·e"/>
    <s v="PEREZ"/>
    <s v="MARIE-CLÉMENCE"/>
    <s v="mcperez@laposte.net"/>
    <s v="09 53 35 27 73"/>
    <s v="06 87 11 75 38"/>
    <s v="PEREZ"/>
    <s v="BENOIT"/>
    <s v="direction@bperez-conseil.fr"/>
    <x v="1"/>
    <x v="1"/>
    <s v="GRAND EST"/>
  </r>
  <r>
    <s v="RENOU"/>
    <s v="ALBAN"/>
    <m/>
    <m/>
    <s v="M"/>
    <m/>
    <m/>
    <m/>
    <s v="29 Rue de Saint-Dié"/>
    <m/>
    <m/>
    <s v="67100"/>
    <s v="Strasbourg"/>
    <s v="France"/>
    <d v="2008-10-08T00:00:00"/>
    <n v="15"/>
    <s v="Schiltigheim (67), France"/>
    <m/>
    <s v="Oui"/>
    <s v="ADH-704843"/>
    <s v="Adhérent·e"/>
    <s v="Seul·e"/>
    <s v="RENOU"/>
    <s v="GILDAS"/>
    <s v="gildas.renou@univ-lorraine.fr"/>
    <s v="03 88 61 50 14"/>
    <s v="06 02 25 28 79"/>
    <s v="HADJIISKY"/>
    <s v="MAGDALÉNA"/>
    <s v="mhadjiisky@unistra.fr"/>
    <x v="1"/>
    <x v="1"/>
    <s v="GRAND EST"/>
  </r>
  <r>
    <s v="RIBON"/>
    <s v="ESTELLE"/>
    <m/>
    <m/>
    <s v="F"/>
    <m/>
    <m/>
    <s v="06 37 27 01 81"/>
    <s v="6 rue des Aubépines"/>
    <m/>
    <m/>
    <s v="68 250"/>
    <s v="Rouffach"/>
    <s v="France"/>
    <d v="2009-09-19T00:00:00"/>
    <n v="14"/>
    <s v="Saint-Doulchard (18), France"/>
    <m/>
    <s v="Oui"/>
    <s v="ADH-707009"/>
    <s v="Adhérent·e"/>
    <s v="Seul·e"/>
    <s v="LANDRY"/>
    <s v="HÉLÈNE"/>
    <s v="h-landry218@gmail.com"/>
    <m/>
    <s v="06 13 13 23 49"/>
    <s v="RIBON"/>
    <s v="GILLES"/>
    <s v="gilles.ribon@orange.fr"/>
    <x v="1"/>
    <x v="1"/>
    <s v="GRAND EST"/>
  </r>
  <r>
    <s v="ROLIN"/>
    <s v="ELIOTT"/>
    <m/>
    <m/>
    <s v="M"/>
    <s v="mathieu.rolinpro@gmail.com"/>
    <s v="03 54 30 52 02"/>
    <s v="06 68 14 11 74"/>
    <s v="1 ALLÉE DU BOIS"/>
    <m/>
    <m/>
    <s v="57570"/>
    <s v="MONDORFF"/>
    <s v="France"/>
    <d v="2009-11-11T00:00:00"/>
    <n v="14"/>
    <s v="Luxembourg, Luxembourg"/>
    <m/>
    <s v="Oui"/>
    <s v="ADH-589479"/>
    <s v="Adhérent·e"/>
    <s v="Avec ANNE NOELLE QUILLOT"/>
    <s v="ROLIN"/>
    <s v="MATHIEU"/>
    <s v="mathieu.rolinpro@gmail.com"/>
    <s v="03 54 30 52 02"/>
    <s v="06 68 14 11 74"/>
    <s v="DOS-REIS"/>
    <s v="AURELIE"/>
    <s v="lilirollin57@hotmail.fr"/>
    <x v="1"/>
    <x v="6"/>
    <s v="GRAND EST"/>
  </r>
  <r>
    <s v="ROMAIN"/>
    <s v="ELSA"/>
    <m/>
    <m/>
    <s v="F"/>
    <m/>
    <m/>
    <m/>
    <s v="34 rue de la colline"/>
    <m/>
    <m/>
    <s v="54000"/>
    <s v="nancy"/>
    <s v="France"/>
    <d v="2014-11-27T00:00:00"/>
    <n v="9"/>
    <s v="Nancy (54), France"/>
    <m/>
    <s v="Non"/>
    <s v="ADH-716743"/>
    <s v="Adhérent·e"/>
    <s v="Avec ANNE MARIE ROMAIN"/>
    <s v="ROMAIN"/>
    <s v="POL"/>
    <s v="polromain23@wanadoo.fr"/>
    <m/>
    <s v="06 80 64 51 01"/>
    <s v="ROMAIN"/>
    <s v="CHARLOTTE"/>
    <s v="polromain23@wanadoo.fr"/>
    <x v="1"/>
    <x v="12"/>
    <s v="GRAND EST"/>
  </r>
  <r>
    <s v="SADOUX"/>
    <s v="FÉLIX"/>
    <m/>
    <m/>
    <s v="M"/>
    <m/>
    <m/>
    <m/>
    <s v="6 Rue Dagobert"/>
    <m/>
    <m/>
    <s v="67200"/>
    <s v="Strasbourg"/>
    <s v="France"/>
    <d v="2012-05-19T00:00:00"/>
    <n v="12"/>
    <s v="Strasbourg (67), France"/>
    <m/>
    <s v="Oui"/>
    <s v="ADH-706363"/>
    <s v="Adhérent·e"/>
    <s v="Avec MARTIN / MURIEL SADOUX / BEASSE"/>
    <s v="BÉASSE"/>
    <s v="MURIEL"/>
    <s v="muriel.beasse@gmail.com"/>
    <m/>
    <s v="06 32 76 72 43"/>
    <s v="SADOUX"/>
    <s v="MARTIN"/>
    <s v="martin.sadoux@gmail.com"/>
    <x v="1"/>
    <x v="1"/>
    <s v="GRAND EST"/>
  </r>
  <r>
    <s v="SAX"/>
    <s v="HUGO"/>
    <m/>
    <m/>
    <s v="M"/>
    <s v="sax.hugo68@gmail.com"/>
    <m/>
    <s v="06 70 31 92 95"/>
    <s v="3 rue du Soultz"/>
    <m/>
    <m/>
    <s v="68500"/>
    <s v="Guebwiller"/>
    <s v="France"/>
    <d v="2007-03-01T00:00:00"/>
    <n v="17"/>
    <s v="Mulhouse (68), France"/>
    <m/>
    <s v="Oui"/>
    <s v="ADH-709011"/>
    <s v="Adhérent·e"/>
    <s v="Seul·e"/>
    <s v="DREY"/>
    <s v="SOPHIE"/>
    <s v="girasophie@hotmail.fr"/>
    <m/>
    <s v="06 74 43 99 61"/>
    <s v="SAX"/>
    <s v="HUBERT"/>
    <s v="h.sax@free.fr"/>
    <x v="1"/>
    <x v="0"/>
    <s v="GRAND EST"/>
  </r>
  <r>
    <s v="SBAIZ"/>
    <s v="MORGAN"/>
    <m/>
    <m/>
    <s v="M"/>
    <s v="sbaiz.l@bbox.fr"/>
    <m/>
    <s v="06 63 46 69 74"/>
    <s v="11 RUE ST MARTIN"/>
    <m/>
    <m/>
    <s v="57680"/>
    <s v="CORNY SUR MOSELLE"/>
    <s v="France"/>
    <d v="2010-07-24T00:00:00"/>
    <n v="14"/>
    <s v="Metz (57), France"/>
    <m/>
    <s v="Oui"/>
    <s v="ADH-612284"/>
    <s v="Adhérent·e"/>
    <s v="Avec SBAIZ"/>
    <s v="SBAIZ"/>
    <s v="GREGORY"/>
    <m/>
    <m/>
    <s v="06 61 87 53 68"/>
    <s v="SBAIZ"/>
    <s v="LAETITIA"/>
    <s v="sbaiz.l@bbox.fr"/>
    <x v="1"/>
    <x v="4"/>
    <s v="GRAND EST"/>
  </r>
  <r>
    <s v="SCHAFFER"/>
    <s v="ADEL"/>
    <m/>
    <m/>
    <s v="M"/>
    <m/>
    <m/>
    <m/>
    <s v="17 rue de l'observatoire"/>
    <m/>
    <m/>
    <s v="67000"/>
    <s v="Strasbourg"/>
    <s v="France"/>
    <d v="2012-11-07T00:00:00"/>
    <n v="11"/>
    <s v="Strasbourg (67), France"/>
    <m/>
    <s v="Oui"/>
    <s v="ADH-715169"/>
    <s v="Adhérent·e"/>
    <s v="Non"/>
    <s v="KHENIFI"/>
    <s v="WAHIBA"/>
    <s v="wahibakhenifi@icloud.com"/>
    <m/>
    <s v="06 79 86 48 16"/>
    <s v="SCHAFFER"/>
    <s v="SÉBASTIENT"/>
    <m/>
    <x v="1"/>
    <x v="1"/>
    <s v="GRAND EST"/>
  </r>
  <r>
    <s v="SCHALK"/>
    <s v="LUCIEN"/>
    <m/>
    <m/>
    <s v="M"/>
    <s v="maricess40@hotmail.com"/>
    <s v="06 48 18 52 77"/>
    <s v="06 48 18 52 77"/>
    <s v="43 chemin de la Silberrunz"/>
    <m/>
    <m/>
    <s v="68000"/>
    <s v="COLMAR"/>
    <s v="France"/>
    <d v="2015-09-20T00:00:00"/>
    <n v="8"/>
    <s v="Strasbourg (67), France"/>
    <m/>
    <s v="Oui"/>
    <s v="ADH-704523"/>
    <s v="Adhérent·e"/>
    <s v="Avec LUDOVIC SCHALK"/>
    <s v="CAMPAIGNOLLE"/>
    <s v="MARIE-CÉCILE"/>
    <s v="maricess40@hotmail.com"/>
    <s v="06 48 18 52 77"/>
    <s v="06 48 18 52 77"/>
    <m/>
    <m/>
    <m/>
    <x v="1"/>
    <x v="10"/>
    <s v="GRAND EST"/>
  </r>
  <r>
    <s v="SCHMID"/>
    <s v="ANATOLE"/>
    <m/>
    <m/>
    <s v="M"/>
    <m/>
    <m/>
    <m/>
    <s v="42 Rue de l'Oberelsau"/>
    <m/>
    <m/>
    <s v="67200"/>
    <s v="Strasbourg"/>
    <s v="France"/>
    <d v="2010-10-14T00:00:00"/>
    <n v="13"/>
    <s v="Strasbourg (67), France"/>
    <m/>
    <s v="Oui"/>
    <s v="ADH-606817"/>
    <s v="Adhérent·e"/>
    <s v="Avec GUILLAUME / DOROTHEE SCHMID / SPINNER"/>
    <s v="SPINNER"/>
    <s v="DOROTHÉE"/>
    <s v="dospinner@gmail.com"/>
    <m/>
    <s v="06 71 75 36 10"/>
    <s v="SCHMID"/>
    <s v="GUILLAUME"/>
    <s v="dospinner@gmail.com"/>
    <x v="1"/>
    <x v="1"/>
    <s v="GRAND EST"/>
  </r>
  <r>
    <s v="SENDRAL"/>
    <s v="VICTOR"/>
    <m/>
    <m/>
    <s v="M"/>
    <m/>
    <m/>
    <m/>
    <s v="13 Rue de Labaroche"/>
    <m/>
    <m/>
    <s v="67100"/>
    <s v="Strasbourg"/>
    <s v="France"/>
    <d v="2016-01-08T00:00:00"/>
    <n v="8"/>
    <s v="Schiltigheim (67), France"/>
    <m/>
    <s v="Oui"/>
    <s v="ADH-710513"/>
    <s v="Adhérent·e"/>
    <s v="Non"/>
    <s v="DUBOST"/>
    <s v="SYLVIA"/>
    <s v="sylvia.dubost@gmail.com"/>
    <s v="03 88 36 05 45"/>
    <s v="06 61 43 54 85"/>
    <s v="SENDRAL"/>
    <s v="JULIEN"/>
    <s v="julien.sendral@free.fr"/>
    <x v="1"/>
    <x v="1"/>
    <s v="GRAND EST"/>
  </r>
  <r>
    <s v="SERILLON"/>
    <s v="MAXIME"/>
    <m/>
    <m/>
    <s v="M"/>
    <s v="scout.florival@yahoo.com"/>
    <m/>
    <s v="07 86 75 71 77"/>
    <s v="4 rue du Sudel"/>
    <m/>
    <m/>
    <s v="68500"/>
    <s v="Hartmannswiller"/>
    <s v="France"/>
    <d v="2007-11-06T00:00:00"/>
    <n v="16"/>
    <s v="Mulhouse (68), France"/>
    <m/>
    <s v="Oui"/>
    <s v="ADH-709244"/>
    <s v="Adhérent·e"/>
    <s v="Seul·e"/>
    <s v="SERILLON"/>
    <s v="JACQUES"/>
    <s v="jacques.seriillon@orange.fr"/>
    <m/>
    <s v="06 07 96 94 93"/>
    <s v="SERILLON"/>
    <s v="VALÉRIE"/>
    <s v="valerie.serillon@orange.fr"/>
    <x v="1"/>
    <x v="0"/>
    <s v="GRAND EST"/>
  </r>
  <r>
    <s v="STEVENIN"/>
    <s v="OSCAR"/>
    <m/>
    <m/>
    <s v="M"/>
    <m/>
    <m/>
    <m/>
    <s v="26 rue de l'Union"/>
    <m/>
    <m/>
    <s v="10300"/>
    <s v="Sainte Savine"/>
    <m/>
    <d v="2014-10-17T00:00:00"/>
    <n v="9"/>
    <s v="paris"/>
    <m/>
    <s v="Non"/>
    <s v="ADH-715852"/>
    <s v="Adhérent·e"/>
    <s v="Non"/>
    <s v="STEVENIN"/>
    <s v="JUSTINE"/>
    <s v="justine.becard@gmail.com"/>
    <m/>
    <s v="06 82 00 41 10"/>
    <s v="STEVENIN"/>
    <s v="ALBAN"/>
    <s v="alban.stevenin@gmail.com"/>
    <x v="1"/>
    <x v="8"/>
    <s v="GRAND EST"/>
  </r>
  <r>
    <s v="TORDO"/>
    <s v="MAXENCE"/>
    <m/>
    <m/>
    <s v="M"/>
    <s v="astrid.tordo@gmail.com"/>
    <s v="09 50 75 37 98"/>
    <s v="06 17 70 66 05"/>
    <s v="2 BIS RUE DE HAVANGE"/>
    <s v="BURE"/>
    <m/>
    <s v="57710"/>
    <s v="TRESSANGE"/>
    <m/>
    <d v="2011-01-26T00:00:00"/>
    <n v="13"/>
    <s v="Thionville (57), France"/>
    <m/>
    <s v="Oui"/>
    <s v="ADH-595819"/>
    <s v="Adhérent·e"/>
    <s v="Non"/>
    <s v="TORDO"/>
    <s v="Gregory"/>
    <s v="gregory.tordo@eedf.fr"/>
    <m/>
    <s v="06 20 04 73 49"/>
    <s v="TORDO"/>
    <s v="ASTRID"/>
    <s v="astrid.tordo@gmail.com"/>
    <x v="1"/>
    <x v="2"/>
    <s v="GRAND EST"/>
  </r>
  <r>
    <s v="TOURATIER"/>
    <s v="ROMEO"/>
    <m/>
    <m/>
    <s v="M"/>
    <m/>
    <m/>
    <m/>
    <s v="14 rue clovis"/>
    <m/>
    <m/>
    <s v="67200"/>
    <s v="strasbourg"/>
    <s v="France"/>
    <d v="2015-03-30T00:00:00"/>
    <n v="9"/>
    <s v="Strasbourg (67), France"/>
    <m/>
    <s v="Oui"/>
    <s v="ADH-715597"/>
    <s v="Adhérent·e"/>
    <s v="Avec PAULINE/OLIVIER LEURENT/TOURATIER"/>
    <s v="TOURATIER"/>
    <s v="OLIVIER"/>
    <s v="olivierlabouche@hotmail.fr"/>
    <m/>
    <s v="06 31 44 30 93"/>
    <s v="LEURENT"/>
    <s v="PAULINE"/>
    <s v="leurentpauline@yahoo.fr"/>
    <x v="1"/>
    <x v="1"/>
    <s v="GRAND EST"/>
  </r>
  <r>
    <s v="TRAN BA LOC"/>
    <s v="ANOUK"/>
    <m/>
    <m/>
    <s v="F"/>
    <m/>
    <m/>
    <m/>
    <s v="4 Rue des Étangs"/>
    <m/>
    <m/>
    <s v="67202"/>
    <s v="Wolfisheim"/>
    <s v="France"/>
    <d v="2012-03-11T00:00:00"/>
    <n v="12"/>
    <s v="Strasbourg (67), France"/>
    <m/>
    <s v="Oui"/>
    <s v="ADH-710510"/>
    <s v="Adhérent·e"/>
    <s v="Avec ISABELLE &amp; PATRICK BRETON"/>
    <s v="TRAN BA LOC"/>
    <s v="PIERRE"/>
    <s v="pierretranbaloc@yahoo.fr"/>
    <m/>
    <s v="06 52 50 42 08"/>
    <s v="JACOB"/>
    <s v="MIRIAM"/>
    <s v="miricob@yahoo.fr"/>
    <x v="1"/>
    <x v="1"/>
    <s v="GRAND EST"/>
  </r>
  <r>
    <s v="TRANI"/>
    <s v="MAXIME"/>
    <m/>
    <m/>
    <s v="M"/>
    <m/>
    <m/>
    <m/>
    <s v="29 av de Strasbourg"/>
    <m/>
    <m/>
    <s v="57070"/>
    <s v="Metz"/>
    <m/>
    <d v="2015-02-27T00:00:00"/>
    <n v="9"/>
    <s v="Peltre (57), France"/>
    <m/>
    <s v="Oui"/>
    <s v="ADH-715958"/>
    <s v="Adhérent·e"/>
    <s v="Non"/>
    <s v="TRANI"/>
    <s v="IRYNA"/>
    <s v="iryna.trani@gmail.com"/>
    <m/>
    <s v="06 26 31 30 84"/>
    <s v="TRANI"/>
    <s v="MARC"/>
    <s v="tranimarc@gmail.com"/>
    <x v="1"/>
    <x v="6"/>
    <s v="GRAND EST"/>
  </r>
  <r>
    <s v="TSCHAENN"/>
    <s v="ALICE"/>
    <m/>
    <m/>
    <s v="F"/>
    <m/>
    <m/>
    <m/>
    <s v="142 rue Mac Mahon"/>
    <m/>
    <m/>
    <s v="54000"/>
    <s v="nancy"/>
    <s v="France"/>
    <d v="2017-10-25T00:00:00"/>
    <n v="6"/>
    <s v="Nancy (54), France"/>
    <m/>
    <s v="Non"/>
    <s v="ADH-718025"/>
    <s v="Adhérent·e"/>
    <s v="Avec TSCHAENN JULIEN"/>
    <s v="TSCHAENN"/>
    <s v="JULIEN"/>
    <s v="ophelie.malgras@gmail.com"/>
    <s v="06 08 80 93 30"/>
    <m/>
    <m/>
    <m/>
    <m/>
    <x v="1"/>
    <x v="12"/>
    <s v="GRAND EST"/>
  </r>
  <r>
    <s v="VAN DER WALT"/>
    <s v="HANNES"/>
    <m/>
    <m/>
    <s v="M"/>
    <s v="sib.vanderwalt@icloud.com"/>
    <s v="09 80 92 09 24"/>
    <s v="07 68 41 12 24"/>
    <s v="1 RUE FOES"/>
    <m/>
    <m/>
    <s v="57000"/>
    <s v="METZ"/>
    <s v="France"/>
    <d v="2013-05-14T00:00:00"/>
    <n v="11"/>
    <s v="Luxembourg, Luxembourg"/>
    <m/>
    <s v="Oui"/>
    <s v="ADH-615169"/>
    <s v="Adhérent·e"/>
    <s v="Non"/>
    <s v="VAN DER WALT"/>
    <s v="JOHAN"/>
    <s v="johan.vanderwalt@uni.lu"/>
    <m/>
    <s v="07 68 35 78 18"/>
    <s v="VAN DER WALT"/>
    <s v="SIBYLLE"/>
    <s v="sib.vanderwalt@gmail.com"/>
    <x v="1"/>
    <x v="6"/>
    <s v="GRAND EST"/>
  </r>
  <r>
    <s v="VIVIER"/>
    <s v="LISON"/>
    <m/>
    <m/>
    <s v="F"/>
    <s v="s.regef@gmail.com"/>
    <m/>
    <m/>
    <s v="33 rue de Nabecor"/>
    <m/>
    <m/>
    <s v="54000"/>
    <s v="nancy"/>
    <s v="France"/>
    <d v="2016-01-30T00:00:00"/>
    <n v="8"/>
    <m/>
    <m/>
    <s v="Oui"/>
    <s v="ADH-711491"/>
    <s v="Adhérent·e"/>
    <s v="Avec SANDRINE REGEF"/>
    <s v="REGEF"/>
    <s v="SANDRINE"/>
    <s v="s.regef@gmail.com"/>
    <m/>
    <s v="06 76 94 58 01"/>
    <s v="VIVIER"/>
    <s v="BENOIT"/>
    <m/>
    <x v="1"/>
    <x v="12"/>
    <s v="GRAND EST"/>
  </r>
  <r>
    <s v="WEBER PRIGENT"/>
    <s v="SOLVEIG"/>
    <m/>
    <m/>
    <s v="F"/>
    <m/>
    <m/>
    <m/>
    <s v="23 rue de Zurich"/>
    <m/>
    <m/>
    <s v="67000"/>
    <s v="Strasbourg"/>
    <m/>
    <d v="2015-12-27T00:00:00"/>
    <n v="8"/>
    <s v="paris"/>
    <m/>
    <s v="Oui"/>
    <s v="ADH-715592"/>
    <s v="Adhérent·e"/>
    <s v="Avec MARIS/JACQUES DORLEAN:GEISSERT:BUISSON"/>
    <s v="WEBER"/>
    <s v="ASTRID"/>
    <s v="astrid.anna.weber@gmail.com"/>
    <m/>
    <s v="06 14 26 37 95"/>
    <s v="PRIGENT"/>
    <s v="FRÉDÉRIC"/>
    <s v="fprigent@wanadoo.fr"/>
    <x v="1"/>
    <x v="1"/>
    <s v="GRAND EST"/>
  </r>
  <r>
    <s v="WILLEMS"/>
    <s v="MAX"/>
    <m/>
    <m/>
    <s v="M"/>
    <m/>
    <s v="03 82 51 35 32"/>
    <m/>
    <s v="8 BOUCLE DES CHATAIGNIERS"/>
    <m/>
    <m/>
    <s v="57330"/>
    <s v="HETTANGE GRANDE"/>
    <s v="France"/>
    <d v="2012-12-11T00:00:00"/>
    <n v="11"/>
    <s v="Luxembourg, Luxembourg"/>
    <m/>
    <s v="Oui"/>
    <s v="ADH-615677"/>
    <s v="Adhérent·e"/>
    <s v="Avec JESSY DOLVET"/>
    <s v="WILLEMS"/>
    <s v="FLORENCE"/>
    <s v="flo.willems@outlook.fr"/>
    <s v="03 82 51 35 32"/>
    <s v="06 70 87 91 66"/>
    <s v="WILLEMS"/>
    <s v="TOM"/>
    <s v="tom__willems@hotmail.com"/>
    <x v="1"/>
    <x v="11"/>
    <s v="GRAND EST"/>
  </r>
  <r>
    <s v="WURTZ"/>
    <s v="FLORENCE"/>
    <m/>
    <m/>
    <s v="F"/>
    <s v="florence_wurtz7@yahoo.com"/>
    <m/>
    <s v="06 30 34 11 62"/>
    <s v="41 RUE DE LA BLANCHE BORNE"/>
    <m/>
    <m/>
    <s v="57070"/>
    <s v="METZ"/>
    <s v="France"/>
    <d v="2007-05-19T00:00:00"/>
    <n v="17"/>
    <s v="Toul (54), France"/>
    <m/>
    <s v="Oui"/>
    <s v="ADH-586261"/>
    <s v="Adhérent·e"/>
    <s v="Seul·e"/>
    <s v="WURTZ"/>
    <s v="ISABELLE"/>
    <s v="isa_normand@yahoo.fr"/>
    <m/>
    <s v="06 62 76 94 41"/>
    <s v="WURTZ"/>
    <s v="PHILIPPE"/>
    <s v="philippe_wurtz@yahoo.fr"/>
    <x v="1"/>
    <x v="11"/>
    <s v="GRAND EST"/>
  </r>
  <r>
    <s v="WURTZ"/>
    <s v="LUCAS"/>
    <m/>
    <m/>
    <s v="M"/>
    <s v="vprovenaz@yahoo.fr"/>
    <s v="09 94 12 79 42"/>
    <s v="06 29 94 71 83"/>
    <s v="9, Rue Principale"/>
    <m/>
    <m/>
    <s v="68510"/>
    <s v="Waltenheim"/>
    <s v="France"/>
    <d v="2014-09-26T00:00:00"/>
    <n v="9"/>
    <s v="Mulhouse (68), France"/>
    <m/>
    <s v="Oui"/>
    <s v="ADH-715040"/>
    <s v="Adhérent·e"/>
    <s v="Avec VALERIE WURTZ"/>
    <s v="WURTZ"/>
    <s v="VALERIE"/>
    <s v="vprovenaz@yahoo.fr"/>
    <s v="09 84 12 79 42"/>
    <s v="06 29 94 71 83"/>
    <s v="WURTZ"/>
    <s v="LIONEL"/>
    <s v="lionelwurtz@hotmail.com"/>
    <x v="1"/>
    <x v="10"/>
    <s v="GRAND EST"/>
  </r>
  <r>
    <s v="ACHILLE"/>
    <s v="OPHELIE"/>
    <m/>
    <m/>
    <s v="F"/>
    <s v="achille.ophelie@free.fr"/>
    <s v="03 25 82 20 31"/>
    <s v="07 49 25 49 46"/>
    <s v="288 RUE BERTHELOT"/>
    <s v="LEPINE"/>
    <m/>
    <s v="10120"/>
    <s v="ST GERMAIN"/>
    <m/>
    <d v="2007-08-27T00:00:00"/>
    <n v="17"/>
    <s v="Troyes (10), France"/>
    <m/>
    <s v="Oui"/>
    <s v="ADH-572478"/>
    <s v="Adhérent·e"/>
    <s v="Seul·e"/>
    <s v="ACHILLE"/>
    <s v="ALAIN"/>
    <s v="tapir@eedf.org"/>
    <s v="03 25 82 20 31"/>
    <s v="06 51 09 10 59"/>
    <s v="ACHILLE"/>
    <s v="SOPHIE"/>
    <s v="bergeronnette@eedf.org"/>
    <x v="2"/>
    <x v="7"/>
    <s v="GRAND EST"/>
  </r>
  <r>
    <s v="ANNEN"/>
    <s v="LOUISON"/>
    <m/>
    <m/>
    <s v="M"/>
    <s v="romaric.annen@gmail.com"/>
    <m/>
    <s v="06 86 16 14 58"/>
    <s v="13 RUE DE LA GARE"/>
    <m/>
    <m/>
    <s v="57140"/>
    <s v="WOIPPY"/>
    <s v="France"/>
    <d v="2012-01-20T00:00:00"/>
    <n v="12"/>
    <s v="Metz (57), France"/>
    <m/>
    <s v="Oui"/>
    <s v="ADH-616302"/>
    <s v="Adhérent·e"/>
    <s v="Avec ROMARIC ANNEN"/>
    <s v="ANNEN"/>
    <s v="ROMARIC"/>
    <s v="romaric.annen@gmail.com"/>
    <m/>
    <s v="06 86 16 14 58"/>
    <s v="ANNEN"/>
    <s v="CELINE"/>
    <m/>
    <x v="2"/>
    <x v="4"/>
    <s v="GRAND EST"/>
  </r>
  <r>
    <s v="ARIAS ETIENNE"/>
    <s v="RAFAEL"/>
    <m/>
    <m/>
    <s v="M"/>
    <s v="idaetienne@hotmail.com"/>
    <m/>
    <s v="06 52 90 44 77"/>
    <s v="13 bis rue de Morot"/>
    <m/>
    <m/>
    <s v="10450"/>
    <s v="Bréviandes"/>
    <m/>
    <d v="2009-11-29T00:00:00"/>
    <n v="14"/>
    <s v="Troyes (10), France"/>
    <m/>
    <s v="Oui"/>
    <s v="ADH-700862"/>
    <s v="Adhérent·e"/>
    <s v="Seul·e"/>
    <s v="ARIAS"/>
    <s v="IDA"/>
    <s v="idaetienne@hotmail.com"/>
    <m/>
    <s v="06 52 90 44 77"/>
    <s v="ARIAS ALEGRIA"/>
    <s v="ALEXANDER"/>
    <s v="alex.arias@laposte.net"/>
    <x v="2"/>
    <x v="2"/>
    <s v="GRAND EST"/>
  </r>
  <r>
    <s v="BAIERER"/>
    <s v="LOUISE"/>
    <m/>
    <m/>
    <s v="F"/>
    <m/>
    <m/>
    <m/>
    <s v="13 RUE DU GENERAL DE GAULLE"/>
    <m/>
    <m/>
    <s v="67114"/>
    <s v="ESCHAU"/>
    <m/>
    <d v="2014-04-15T00:00:00"/>
    <n v="10"/>
    <s v="Schiltigheim (67), France"/>
    <m/>
    <s v="Oui"/>
    <s v="ADH-716880"/>
    <s v="Adhérent·e"/>
    <s v="Non"/>
    <s v="BAIERER"/>
    <s v="CAROLE"/>
    <s v="famille@baierer.com"/>
    <m/>
    <s v="06 80 66 81 07"/>
    <s v="BAIERER"/>
    <s v="FABIAN"/>
    <s v="famille@baierer.com"/>
    <x v="2"/>
    <x v="1"/>
    <s v="GRAND EST"/>
  </r>
  <r>
    <s v="BALLE-FILEP"/>
    <s v="ALEXIAN"/>
    <m/>
    <m/>
    <s v="M"/>
    <s v="alexian.ballefilep@gmail.com"/>
    <m/>
    <s v="06 40 26 03 54"/>
    <s v="14 RUE DE LA FONTAINE"/>
    <m/>
    <m/>
    <s v="57780"/>
    <s v="ROSSELANGE"/>
    <s v="France"/>
    <d v="2006-07-23T00:00:00"/>
    <n v="18"/>
    <s v="Metz (57), France"/>
    <m/>
    <s v="Oui"/>
    <s v="ADH-581439"/>
    <s v="Adhérent·e"/>
    <s v="Seul·e"/>
    <s v="FILEP"/>
    <s v="NADINE"/>
    <s v="nfrossel@gmail.com"/>
    <m/>
    <s v="06 95 95 69 05"/>
    <m/>
    <m/>
    <m/>
    <x v="2"/>
    <x v="11"/>
    <s v="GRAND EST"/>
  </r>
  <r>
    <s v="BARLETTA"/>
    <s v="LÉONTINE"/>
    <m/>
    <m/>
    <s v="F"/>
    <m/>
    <m/>
    <m/>
    <s v="28 rue du Chère"/>
    <m/>
    <m/>
    <s v="54690"/>
    <s v="Eulmont"/>
    <s v="France"/>
    <d v="2014-10-10T00:00:00"/>
    <n v="9"/>
    <s v="Nancy (54), France"/>
    <m/>
    <s v="Oui"/>
    <s v="ADH-703856"/>
    <s v="Adhérent·e"/>
    <s v="Avec SANDRINE BARLETTA"/>
    <s v="BARLETTA"/>
    <s v="SANDRINE"/>
    <s v="sandrine.barletta@gmail.com"/>
    <m/>
    <s v="06 28 22 45 83"/>
    <s v="BARLETTA"/>
    <s v="NICOLAS"/>
    <s v="nicolasbarletta@hotmail.com"/>
    <x v="2"/>
    <x v="12"/>
    <s v="GRAND EST"/>
  </r>
  <r>
    <s v="BARRAUD"/>
    <s v="CLEMENT"/>
    <m/>
    <m/>
    <s v="M"/>
    <s v="carole.barraud@free.fr"/>
    <m/>
    <s v="06 11 87 76 91"/>
    <s v="6 CHEMIN DE LA BUTTE"/>
    <m/>
    <m/>
    <s v="57050"/>
    <s v="METZ"/>
    <s v="France"/>
    <d v="2010-08-30T00:00:00"/>
    <n v="14"/>
    <s v="Metz (57), France"/>
    <m/>
    <s v="Oui"/>
    <s v="ADH-607495"/>
    <s v="Adhérent·e"/>
    <s v="Seul·e"/>
    <s v="BARRAUD"/>
    <s v="BRUNO"/>
    <s v="brunobarraud57@gmail.com"/>
    <m/>
    <s v="06 11 87 76 91"/>
    <s v="BARRAUD"/>
    <s v="CAROLE"/>
    <s v="carole.barraud@free.fr"/>
    <x v="2"/>
    <x v="4"/>
    <s v="GRAND EST"/>
  </r>
  <r>
    <s v="BASTE LUGAND"/>
    <s v="LEON"/>
    <m/>
    <m/>
    <s v="M"/>
    <s v="leon.baste.lugand@gmail.com"/>
    <m/>
    <s v="06 23 54 51 96"/>
    <s v="401 rue des chardonnets"/>
    <s v="hameau de Roncenay"/>
    <m/>
    <s v="10130"/>
    <s v="Auxon"/>
    <m/>
    <d v="2010-05-22T00:00:00"/>
    <n v="14"/>
    <s v="Troyes (10), France"/>
    <m/>
    <s v="Non"/>
    <s v="ADH-594443"/>
    <s v="Adhérent·e"/>
    <s v="Avec ISABELLE DUBOST"/>
    <s v="LUGAND"/>
    <s v="FRANCIS"/>
    <s v="francis.lugand@gmail.com"/>
    <m/>
    <s v="06 22 96 38 11"/>
    <s v="BASTE"/>
    <s v="EMMANUELLE"/>
    <s v="emmanuelle.bastte@gmail.com"/>
    <x v="2"/>
    <x v="7"/>
    <s v="GRAND EST"/>
  </r>
  <r>
    <s v="BEGUE"/>
    <s v="ALIX"/>
    <m/>
    <m/>
    <s v="M"/>
    <m/>
    <m/>
    <m/>
    <s v="11 bis rue d'Etueffont"/>
    <m/>
    <m/>
    <s v="90170"/>
    <s v="Anjoutey"/>
    <s v="France"/>
    <d v="2014-04-15T00:00:00"/>
    <n v="10"/>
    <s v="Belfort (90), France"/>
    <m/>
    <s v="Oui"/>
    <s v="ADH-704637"/>
    <s v="Adhérent·e"/>
    <s v="Avec BENJAMIN HINDSLEY"/>
    <s v="AUGIER"/>
    <s v="BRIGITTE"/>
    <s v="brigitte.augier@gmail.com"/>
    <m/>
    <s v="06 72 02 36 01"/>
    <s v="BEGUE"/>
    <s v="STEPHANE"/>
    <s v="beguestephane@gmail.com"/>
    <x v="2"/>
    <x v="10"/>
    <s v="GRAND EST"/>
  </r>
  <r>
    <s v="BOUCHERY"/>
    <s v="SIMON"/>
    <m/>
    <m/>
    <s v="M"/>
    <s v="erueal85@yahoo.fr"/>
    <s v="03 25 72 11 24"/>
    <m/>
    <s v="307 rue du faubourg Croncels"/>
    <m/>
    <m/>
    <s v="10000"/>
    <s v="Troyes"/>
    <m/>
    <d v="2015-05-13T00:00:00"/>
    <n v="9"/>
    <s v="Troyes (10), France"/>
    <m/>
    <s v="Oui"/>
    <s v="ADH-704988"/>
    <s v="Adhérent·e"/>
    <s v="Avec PARENTS PARENTS"/>
    <s v="BOUCHERY"/>
    <s v="FREDERIC"/>
    <s v="erual85@yahoo.fr"/>
    <s v="03 25 72 11 24"/>
    <s v="06 58 24 05 80"/>
    <s v="BOUCHERY"/>
    <s v="LAURE"/>
    <s v="erual85@yahoo.fr"/>
    <x v="2"/>
    <x v="2"/>
    <s v="GRAND EST"/>
  </r>
  <r>
    <s v="CLAUDIN"/>
    <s v="GUILLAUME"/>
    <m/>
    <m/>
    <s v="M"/>
    <m/>
    <s v="03 89 26 43 54"/>
    <s v="07 69 42 68 10"/>
    <s v="19 rue du bois fleuri"/>
    <m/>
    <m/>
    <s v="68500"/>
    <s v="Guebwiller"/>
    <s v="France"/>
    <d v="2009-08-08T00:00:00"/>
    <n v="15"/>
    <s v="Colmar (68), France"/>
    <m/>
    <s v="Oui"/>
    <s v="ADH-710445"/>
    <s v="Adhérent·e"/>
    <s v="Seul·e"/>
    <s v="CLAUDIN"/>
    <s v="BENOIT"/>
    <s v="cbclaudin@free.fr"/>
    <s v="03 89 26 43 54"/>
    <s v="07 69 42 68 10"/>
    <s v="CLAUDIN"/>
    <s v="CELILE"/>
    <s v="cbclaudin@free.fr"/>
    <x v="2"/>
    <x v="0"/>
    <s v="GRAND EST"/>
  </r>
  <r>
    <s v="CUNAT"/>
    <s v="VICTORINE"/>
    <m/>
    <m/>
    <s v="F"/>
    <m/>
    <m/>
    <m/>
    <s v="51 rue de l'aubepine"/>
    <m/>
    <m/>
    <s v="57000"/>
    <s v="Metz"/>
    <m/>
    <d v="2012-11-07T00:00:00"/>
    <n v="11"/>
    <s v="Metz (57), France"/>
    <m/>
    <s v="Oui"/>
    <s v="ADH-715959"/>
    <s v="Adhérent·e"/>
    <s v="Non"/>
    <s v="CUNAT"/>
    <s v="ALINE"/>
    <s v="alicecunat84@gmail.com"/>
    <m/>
    <s v="06 58 01 93 10"/>
    <s v="CUNAT"/>
    <s v="PIERRE"/>
    <s v="pcunat@sfr.fr"/>
    <x v="2"/>
    <x v="6"/>
    <s v="GRAND EST"/>
  </r>
  <r>
    <s v="DAUPHIN"/>
    <s v="SIMON"/>
    <m/>
    <m/>
    <s v="M"/>
    <s v="MARIEANNE.DAUPHIN@YAHOO.FR"/>
    <m/>
    <m/>
    <s v="16 RUE HAUVY"/>
    <m/>
    <m/>
    <s v="10300"/>
    <s v="SAINTE SAVINE"/>
    <m/>
    <d v="2012-01-02T00:00:00"/>
    <n v="12"/>
    <s v="Troyes (10), France"/>
    <m/>
    <s v="Non"/>
    <s v="ADH-716794"/>
    <s v="Adhérent·e"/>
    <s v="Non"/>
    <s v="MALCHROWICZ"/>
    <s v="MARIE ANNE"/>
    <s v="MARIEANNE.DAUPHIN@YAHOO.FR"/>
    <m/>
    <s v="06 75 57 31 18"/>
    <m/>
    <m/>
    <m/>
    <x v="2"/>
    <x v="8"/>
    <s v="GRAND EST"/>
  </r>
  <r>
    <s v="DE AMORIM"/>
    <s v="INAYA"/>
    <m/>
    <m/>
    <s v="F"/>
    <m/>
    <m/>
    <m/>
    <s v="77 Route des romains"/>
    <m/>
    <m/>
    <s v="67200"/>
    <s v="Strasbourg"/>
    <m/>
    <d v="2016-07-30T00:00:00"/>
    <n v="8"/>
    <m/>
    <m/>
    <s v="Oui"/>
    <s v="ADH-716451"/>
    <s v="Adhérent·e"/>
    <s v="Non"/>
    <s v="KOPP"/>
    <s v="EMMANUELLE"/>
    <s v="kopp.emmanuelle@gmail.com"/>
    <m/>
    <s v="06 13 54 52 00"/>
    <s v="DE AMORIM"/>
    <s v="MANUEL"/>
    <s v="deamorimmanuel34@gmail.com"/>
    <x v="2"/>
    <x v="1"/>
    <s v="GRAND EST"/>
  </r>
  <r>
    <s v="DE MELO"/>
    <s v="ERWAN"/>
    <m/>
    <m/>
    <s v="M"/>
    <s v="guyot.officiel@gmail.com"/>
    <s v="06 01 63 25 24"/>
    <m/>
    <s v="2 RUE D'ANVERS"/>
    <s v="5E DROIT"/>
    <m/>
    <s v="68110"/>
    <s v="ILLZACH"/>
    <s v="France"/>
    <d v="2016-12-26T00:00:00"/>
    <n v="7"/>
    <s v="Schiltigheim (67), France"/>
    <m/>
    <s v="Oui"/>
    <s v="ADH-710982"/>
    <s v="Adhérent·e"/>
    <s v="Avec NICOLAS GUYOT"/>
    <s v="LE LEUCH"/>
    <s v="GWÉNAËLLE"/>
    <s v="gleleuch@hotmail.fr"/>
    <m/>
    <s v="06 25 24 58 91"/>
    <m/>
    <m/>
    <m/>
    <x v="2"/>
    <x v="10"/>
    <s v="GRAND EST"/>
  </r>
  <r>
    <s v="DE PRAETER"/>
    <s v="EMMY"/>
    <m/>
    <m/>
    <s v="F"/>
    <m/>
    <m/>
    <m/>
    <s v="14B Av du 8ème Régiment de Hussard"/>
    <m/>
    <m/>
    <s v="68130"/>
    <s v="Altkirch"/>
    <s v="France"/>
    <d v="2015-01-28T00:00:00"/>
    <n v="9"/>
    <s v="Armentières (59), France"/>
    <m/>
    <s v="Oui"/>
    <s v="ADH-706852"/>
    <s v="Adhérent·e"/>
    <s v="Non"/>
    <s v="GANSER"/>
    <s v="CÉLIA"/>
    <s v="ganser.celia@gmail.com"/>
    <m/>
    <s v="06 52 88 02 82"/>
    <m/>
    <m/>
    <m/>
    <x v="2"/>
    <x v="10"/>
    <s v="GRAND EST"/>
  </r>
  <r>
    <s v="DELFINO"/>
    <s v="LUCAS"/>
    <m/>
    <m/>
    <s v="M"/>
    <s v="sof057@hotmail.fr"/>
    <m/>
    <s v="06 80 93 43 29"/>
    <s v="29 chemin de la petite ile"/>
    <m/>
    <m/>
    <s v="57050"/>
    <s v="METZ"/>
    <s v="France"/>
    <d v="2015-09-27T00:00:00"/>
    <n v="8"/>
    <s v="Peltre (57), France"/>
    <m/>
    <s v="Oui"/>
    <s v="ADH-715884"/>
    <s v="Adhérent·e"/>
    <s v="Avec SOPHIE DELFINO"/>
    <s v="DELFINO"/>
    <s v="SOPHIE"/>
    <s v="sof057@hotmail.fr"/>
    <m/>
    <s v="06 80 93 43 29"/>
    <s v="DELFINO"/>
    <s v="GREGORY"/>
    <m/>
    <x v="2"/>
    <x v="4"/>
    <s v="GRAND EST"/>
  </r>
  <r>
    <s v="DERAMOND BOLL"/>
    <s v="PIERRE"/>
    <m/>
    <m/>
    <s v="M"/>
    <m/>
    <m/>
    <s v="06 68 75 77 47"/>
    <s v="16 rue saint André"/>
    <m/>
    <m/>
    <s v="57950"/>
    <s v="Montigny-lès-Metz"/>
    <m/>
    <d v="2010-03-20T00:00:00"/>
    <n v="14"/>
    <s v="Amiens (80), France"/>
    <m/>
    <s v="Oui"/>
    <s v="ADH-716557"/>
    <s v="Adhérent·e"/>
    <s v="Avec PIERRE DE BROUWER"/>
    <s v="BOLL"/>
    <s v="CLAIRE"/>
    <s v="claireboll80@gmail.com"/>
    <m/>
    <s v="06 15 67 40 38"/>
    <s v="DERAMOND"/>
    <s v="SYLVAIN"/>
    <m/>
    <x v="2"/>
    <x v="6"/>
    <s v="GRAND EST"/>
  </r>
  <r>
    <s v="DISTEFANO-LETT"/>
    <s v="ALEXANDRE"/>
    <m/>
    <m/>
    <s v="M"/>
    <m/>
    <m/>
    <m/>
    <s v="2 RUE CANROBERT"/>
    <m/>
    <m/>
    <s v="57050"/>
    <s v="METZ"/>
    <s v="France"/>
    <d v="2015-05-11T00:00:00"/>
    <n v="9"/>
    <s v="Peltre (57), France"/>
    <m/>
    <s v="Oui"/>
    <s v="ADH-717818"/>
    <s v="Adhérent·e"/>
    <s v="Non"/>
    <s v="LETT"/>
    <s v="EMILIE"/>
    <s v="emilie.lett@gmail.com"/>
    <m/>
    <s v="06 19 46 66 44"/>
    <s v="DISTEFANO"/>
    <s v="FABIO"/>
    <s v="dasbunch@gmail.com"/>
    <x v="2"/>
    <x v="5"/>
    <s v="GRAND EST"/>
  </r>
  <r>
    <s v="ERNESTI"/>
    <s v="LOISE"/>
    <m/>
    <m/>
    <s v="F"/>
    <s v="xera.rock1@gmail.com"/>
    <s v="03 87 78 00 59"/>
    <s v="06 30 05 60 25"/>
    <s v="7, IMPASSE BILLOTTE"/>
    <m/>
    <m/>
    <s v="57070"/>
    <s v="ST JULIEN LES METZ"/>
    <s v="France"/>
    <d v="2008-10-16T00:00:00"/>
    <n v="15"/>
    <s v="Metz (57), France"/>
    <m/>
    <s v="Oui"/>
    <s v="ADH-581465"/>
    <s v="Adhérent·e"/>
    <s v="Avec D CLERGET"/>
    <s v="ERNESTI"/>
    <s v="ROBERTO"/>
    <s v="roberto.ernesti@wanadoo.fr"/>
    <s v="03 87 78 00 59"/>
    <s v="06 30 05 60 25"/>
    <s v="ERNESTI"/>
    <s v="VIRGINIE"/>
    <s v="clergetv@yahoo.fr"/>
    <x v="2"/>
    <x v="11"/>
    <s v="GRAND EST"/>
  </r>
  <r>
    <s v="FAUST-REICH"/>
    <s v="LUCIE"/>
    <m/>
    <m/>
    <s v="F"/>
    <m/>
    <m/>
    <m/>
    <s v="3 Rue Moser"/>
    <m/>
    <m/>
    <s v="67300"/>
    <s v="Schiltigheim"/>
    <s v="France"/>
    <d v="2013-07-18T00:00:00"/>
    <n v="11"/>
    <s v="Strasbourg (67), France"/>
    <m/>
    <s v="Oui"/>
    <s v="ADH-704669"/>
    <s v="Adhérent·e"/>
    <s v="Non"/>
    <s v="FAUST"/>
    <s v="EMMANUEL"/>
    <s v="emmanuel.faust@unistra.fr"/>
    <m/>
    <s v="06 22 42 86 26"/>
    <s v="REICH"/>
    <s v="MÉLANIE"/>
    <s v="mlaniereich@yahoo.fr"/>
    <x v="2"/>
    <x v="1"/>
    <s v="GRAND EST"/>
  </r>
  <r>
    <s v="FERRANTE"/>
    <s v="FLEUR"/>
    <m/>
    <m/>
    <s v="F"/>
    <m/>
    <m/>
    <m/>
    <s v="10 rue de Caravage"/>
    <m/>
    <m/>
    <s v="67200"/>
    <s v="STRASBOURG"/>
    <m/>
    <d v="2014-07-03T00:00:00"/>
    <n v="10"/>
    <m/>
    <m/>
    <s v="Oui"/>
    <s v="ADH-717570"/>
    <s v="Adhérent·e"/>
    <s v="Non"/>
    <s v="RAVELOSOON"/>
    <s v="ONY"/>
    <s v="onyrav@gmail.com"/>
    <m/>
    <s v="06 60 82 54 16"/>
    <s v="FERRANTE"/>
    <s v="MARC"/>
    <s v="onymarc@gmail.com"/>
    <x v="2"/>
    <x v="1"/>
    <s v="GRAND EST"/>
  </r>
  <r>
    <s v="FREUDENREICH"/>
    <s v="VICTOR"/>
    <m/>
    <m/>
    <s v="M"/>
    <s v="vic.freudenreich@gmail.com"/>
    <m/>
    <s v="07 89 63 49 06"/>
    <s v="1 rue Marc Grodwohl"/>
    <m/>
    <m/>
    <s v="68190"/>
    <s v="Ungersheim"/>
    <s v="France"/>
    <d v="2007-11-28T00:00:00"/>
    <n v="16"/>
    <s v="Colmar (68), France"/>
    <m/>
    <s v="Oui"/>
    <s v="ADH-709678"/>
    <s v="Adhérent·e"/>
    <s v="Seul·e"/>
    <s v="FREUDENREICH"/>
    <s v="KEVIN"/>
    <s v="kevinfreudenreich@wanadoo.fr"/>
    <m/>
    <s v="06 74 76 36 03"/>
    <s v="FREUDENREICH"/>
    <s v="STEPHANIE"/>
    <s v="stekevije@gmail.com"/>
    <x v="2"/>
    <x v="0"/>
    <s v="GRAND EST"/>
  </r>
  <r>
    <s v="FREUND"/>
    <s v="SOLÈNE"/>
    <s v="FREUND"/>
    <m/>
    <s v="F"/>
    <s v="freundbenedicte@gmail.com"/>
    <s v="06 67 40 93 22"/>
    <m/>
    <s v="25 rue Alfred krieger 57070 metz"/>
    <m/>
    <m/>
    <s v="57070"/>
    <s v="Metz"/>
    <m/>
    <d v="2015-05-13T00:00:00"/>
    <n v="9"/>
    <s v="Peltre (57), France"/>
    <m/>
    <s v="Oui"/>
    <s v="ADH-717730"/>
    <s v="Adhérent·e"/>
    <s v="Avec FRANCOIS FREUND"/>
    <s v="FREUND"/>
    <s v="BENEDICTE"/>
    <s v="freundbenedicte@gmail.com"/>
    <s v="06 67 40 93 22"/>
    <m/>
    <m/>
    <m/>
    <m/>
    <x v="2"/>
    <x v="11"/>
    <s v="GRAND EST"/>
  </r>
  <r>
    <s v="GINDER"/>
    <s v="ALICIA"/>
    <m/>
    <m/>
    <s v="F"/>
    <m/>
    <m/>
    <m/>
    <s v="54 rue d'Espagne"/>
    <m/>
    <m/>
    <s v="68170"/>
    <s v="Rixheim"/>
    <s v="France"/>
    <d v="2015-11-20T00:00:00"/>
    <n v="8"/>
    <s v="Mulhouse (68), France"/>
    <m/>
    <s v="Oui"/>
    <s v="ADH-708553"/>
    <s v="Adhérent·e"/>
    <s v="Avec GIUSEPPE GUERRERA"/>
    <s v="ZIMMERMANN"/>
    <s v="CÉLINE"/>
    <s v="celine.zimmermann20@gmail.com"/>
    <m/>
    <s v="07 50 30 17 76"/>
    <s v="GINDER"/>
    <s v="JÉRÔME"/>
    <s v="jerome.ginder@gmail.com"/>
    <x v="2"/>
    <x v="10"/>
    <s v="GRAND EST"/>
  </r>
  <r>
    <s v="GOURVES"/>
    <s v="ELOUAN"/>
    <m/>
    <m/>
    <s v="M"/>
    <s v="aurore.leger36@laposte.net"/>
    <m/>
    <s v="06 73 26 72 30"/>
    <s v="16 allée des platanes"/>
    <m/>
    <m/>
    <s v="57530"/>
    <s v="les étangs"/>
    <m/>
    <d v="2015-01-30T00:00:00"/>
    <n v="9"/>
    <s v="Bourges (18), France"/>
    <m/>
    <s v="Oui"/>
    <s v="ADH-703935"/>
    <s v="Adhérent·e"/>
    <s v="Non"/>
    <s v="GOURVES"/>
    <s v="VINCENT"/>
    <s v="vincent.gourves@laposte.net"/>
    <s v="06 33 25 71 83"/>
    <m/>
    <s v="GOURVES"/>
    <s v="AURORE"/>
    <s v="aurore.leger36@laposte.net"/>
    <x v="2"/>
    <x v="6"/>
    <s v="GRAND EST"/>
  </r>
  <r>
    <s v="GUERRERA"/>
    <s v="NOÉMIE"/>
    <m/>
    <m/>
    <s v="F"/>
    <s v="gius.guerrera@gmail.com"/>
    <m/>
    <s v="06 03 60 15 65"/>
    <s v="15 rue Marie Curie"/>
    <m/>
    <m/>
    <s v="68780"/>
    <s v="Bartenheim"/>
    <s v="France"/>
    <d v="2014-10-31T00:00:00"/>
    <n v="9"/>
    <s v="Altkirch (68), France"/>
    <m/>
    <s v="Oui"/>
    <s v="ADH-703472"/>
    <s v="Adhérent·e"/>
    <s v="Non"/>
    <s v="GUERRERA"/>
    <s v="GIUSEPPE"/>
    <s v="gius.guerrera@gmail.com"/>
    <m/>
    <s v="06 03 60 15 65"/>
    <s v="GUERRERA"/>
    <s v="MARGOT"/>
    <s v="margot6805@gmail.com"/>
    <x v="2"/>
    <x v="10"/>
    <s v="GRAND EST"/>
  </r>
  <r>
    <s v="HAMMAMI"/>
    <s v="NELLY"/>
    <m/>
    <m/>
    <s v="F"/>
    <m/>
    <m/>
    <m/>
    <s v="1 rue Pierre Mendès France"/>
    <m/>
    <m/>
    <s v="57280"/>
    <s v="MAIZIERES-LES-METZ"/>
    <s v="France"/>
    <d v="2013-02-12T00:00:00"/>
    <n v="11"/>
    <s v="Peltre (57), France"/>
    <m/>
    <s v="Oui"/>
    <s v="ADH-717721"/>
    <s v="Adhérent·e"/>
    <s v="Avec NASREDDINE HAMMAMI"/>
    <s v="HAMMAMI"/>
    <s v="MÉLANY"/>
    <s v="melanyleclaire@gmail.com"/>
    <m/>
    <s v="07 87 87 67 36"/>
    <s v="HAMMAMI"/>
    <s v="NASREDDINE"/>
    <s v="nashammami15@gmail.com"/>
    <x v="2"/>
    <x v="11"/>
    <s v="GRAND EST"/>
  </r>
  <r>
    <s v="HOCEDEZ"/>
    <s v="LUCIE"/>
    <m/>
    <m/>
    <s v="F"/>
    <m/>
    <m/>
    <s v="06 23 68 12 60"/>
    <s v="140 rue Theodore Deck"/>
    <m/>
    <m/>
    <s v="68500"/>
    <s v="Guebwiller"/>
    <s v="France"/>
    <d v="2013-05-18T00:00:00"/>
    <n v="11"/>
    <s v="Colmar (68), France"/>
    <m/>
    <s v="Oui"/>
    <s v="ADH-709003"/>
    <s v="Adhérent·e"/>
    <s v="Avec RELANGE NICOLAS ET JULIE CLAUDIN CÉCILE ET BENOÎT"/>
    <s v="HOCEDEZ"/>
    <s v="NICOLAS"/>
    <s v="nicocedez@gmail.com"/>
    <m/>
    <s v="06 22 15 46 36"/>
    <s v="BERGE"/>
    <s v="ALEXANDRA"/>
    <s v="berge.alexandra@sfr.fr"/>
    <x v="2"/>
    <x v="0"/>
    <s v="GRAND EST"/>
  </r>
  <r>
    <s v="HUN-CHARRON"/>
    <s v="CORALINE"/>
    <m/>
    <m/>
    <s v="F"/>
    <m/>
    <m/>
    <m/>
    <s v="18 Rue des Carmes"/>
    <m/>
    <m/>
    <s v="67100"/>
    <s v="Strasbourg"/>
    <s v="France"/>
    <d v="2011-09-07T00:00:00"/>
    <n v="12"/>
    <s v="Strasbourg (67), France"/>
    <m/>
    <s v="Oui"/>
    <s v="ADH-615756"/>
    <s v="Adhérent·e"/>
    <s v="Non"/>
    <s v="HUN"/>
    <s v="ORPHELIE"/>
    <s v="lullaby.nab@gmail.com"/>
    <m/>
    <s v="06 34 14 96 46"/>
    <s v="CHARRON"/>
    <s v="JULIEN"/>
    <s v="moi_wednesday@hotmail.com"/>
    <x v="2"/>
    <x v="1"/>
    <s v="GRAND EST"/>
  </r>
  <r>
    <s v="HURPEAUX"/>
    <s v="RAPHAEL"/>
    <m/>
    <m/>
    <s v="M"/>
    <s v="christellehurpeaux@gmail.com"/>
    <m/>
    <s v="07 77 30 03 72"/>
    <s v="11 rue Guy Mocquet"/>
    <s v="Appt 32"/>
    <m/>
    <s v="10120"/>
    <s v="St André les Vergers"/>
    <m/>
    <d v="2015-03-08T00:00:00"/>
    <n v="9"/>
    <s v="Troyes (10), France"/>
    <m/>
    <s v="Oui"/>
    <s v="ADH-717562"/>
    <s v="Adhérent·e"/>
    <s v="Non"/>
    <s v="HURPEAUX"/>
    <s v="CHRISTELLE"/>
    <s v="christellehurpeaux@gmail.com"/>
    <m/>
    <s v="07 77 30 03 72"/>
    <s v="HURPEAUX"/>
    <s v="CEDRIC"/>
    <s v="hurpeaux.cedric@gmail.com"/>
    <x v="2"/>
    <x v="2"/>
    <s v="GRAND EST"/>
  </r>
  <r>
    <s v="KASIDIS"/>
    <s v="CELIA"/>
    <m/>
    <m/>
    <s v="F"/>
    <s v="celia.kasidis@gmail.com"/>
    <m/>
    <s v="07 78 55 72 83"/>
    <s v="6 rue de l'église"/>
    <m/>
    <m/>
    <s v="57640"/>
    <s v="ARGANCY"/>
    <s v="France"/>
    <d v="2006-02-12T00:00:00"/>
    <n v="18"/>
    <s v="Metz (57), France"/>
    <m/>
    <s v="Oui"/>
    <s v="ADH-593748"/>
    <s v="Adhérent·e"/>
    <s v="Seul·e"/>
    <s v="HENRY"/>
    <s v="ANNE"/>
    <s v="oceak@sfr.fr"/>
    <m/>
    <s v="06 26 33 23 39"/>
    <s v="KASIDIS"/>
    <s v="EMMANUEL"/>
    <s v="nunuths@gmail.com"/>
    <x v="2"/>
    <x v="11"/>
    <s v="GRAND EST"/>
  </r>
  <r>
    <s v="KETEVI"/>
    <s v="ESSO-LIZAM DJAMILA"/>
    <m/>
    <m/>
    <s v="F"/>
    <s v="awaguigma@yahoo.fr"/>
    <m/>
    <s v="06 12 13 46 15"/>
    <s v="88 rue Saint Pierre"/>
    <m/>
    <m/>
    <s v="57000"/>
    <s v="Metz"/>
    <s v="France"/>
    <d v="2009-11-03T00:00:00"/>
    <n v="14"/>
    <s v="duisburg"/>
    <m/>
    <s v="Oui"/>
    <s v="ADH-702871"/>
    <s v="Adhérent·e"/>
    <s v="Seul·e"/>
    <s v="KETEVI"/>
    <s v="AWA"/>
    <s v="awaguigma@yahoo.fr"/>
    <s v="06 12 13 46 15"/>
    <m/>
    <m/>
    <m/>
    <m/>
    <x v="2"/>
    <x v="6"/>
    <s v="GRAND EST"/>
  </r>
  <r>
    <s v="KIEN-CLAUDEL"/>
    <s v="TITOUAN"/>
    <m/>
    <m/>
    <s v="M"/>
    <s v="titouan.kcldl@gmail.com"/>
    <s v="03 89 79 22 43"/>
    <s v="06 34 96 51 04"/>
    <s v="16 RUE DES TROIS CHATEAUX"/>
    <m/>
    <m/>
    <s v="68000"/>
    <s v="COLMAR"/>
    <s v="France"/>
    <d v="2007-10-21T00:00:00"/>
    <n v="16"/>
    <s v="Colmar (68), France"/>
    <m/>
    <s v="Oui"/>
    <s v="ADH-573538"/>
    <s v="Adhérent·e"/>
    <s v="Seul·e"/>
    <s v="CLAUDEL"/>
    <s v="LAETITIA"/>
    <s v="familleclaudel68@gmail.com"/>
    <m/>
    <s v="06 04 40 65 23"/>
    <m/>
    <m/>
    <m/>
    <x v="2"/>
    <x v="1"/>
    <s v="GRAND EST"/>
  </r>
  <r>
    <s v="KOLLY TEXIER"/>
    <s v="JOAN"/>
    <m/>
    <m/>
    <s v="M"/>
    <s v="gkolly8@hotmail.fr"/>
    <m/>
    <s v="07 78 34 15 65"/>
    <s v="25 rue de la Pavée"/>
    <m/>
    <m/>
    <s v="10350"/>
    <s v="Le Pavillon Ste Julie"/>
    <m/>
    <d v="2012-10-23T00:00:00"/>
    <n v="11"/>
    <s v="Troyes (10), France"/>
    <m/>
    <s v="Oui"/>
    <s v="ADH-708971"/>
    <s v="Adhérent·e"/>
    <s v="Non"/>
    <s v="KOLLY"/>
    <s v="GAELLE"/>
    <s v="gkolly8@hotmail.fr"/>
    <m/>
    <s v="07 78 34 15 65"/>
    <s v="TEXIER"/>
    <s v="JEAN PHILIPPE"/>
    <s v="jtexier@gmail.com"/>
    <x v="2"/>
    <x v="8"/>
    <s v="GRAND EST"/>
  </r>
  <r>
    <s v="KRAMER"/>
    <s v="FIORN'ZO"/>
    <m/>
    <m/>
    <s v="M"/>
    <s v="poumpounette@live.fr"/>
    <m/>
    <s v="06 15 64 47 00"/>
    <s v="6 RUE DU RUISSEAU"/>
    <m/>
    <m/>
    <s v="57700"/>
    <s v="HAYANGE"/>
    <s v="France"/>
    <d v="2010-07-17T00:00:00"/>
    <n v="14"/>
    <s v="Thionville (57), France"/>
    <m/>
    <s v="Oui"/>
    <s v="ADH-715882"/>
    <s v="Adhérent·e"/>
    <s v="Avec NADEGE KRAMER"/>
    <s v="KRAMER"/>
    <s v="NADEGE"/>
    <s v="poumpounette@live.fr"/>
    <m/>
    <s v="06 15 64 47 00"/>
    <s v="KRAMER"/>
    <s v="DAMIEN"/>
    <s v="kramer.damien@gmail.com"/>
    <x v="2"/>
    <x v="11"/>
    <s v="GRAND EST"/>
  </r>
  <r>
    <s v="LEFEVRE"/>
    <s v="RAPHAEL"/>
    <m/>
    <m/>
    <s v="M"/>
    <s v="malika.zbi@hotmail.fr"/>
    <m/>
    <m/>
    <s v="35 rue des Pâquerettes"/>
    <m/>
    <m/>
    <s v="68540"/>
    <s v="Bollwiller"/>
    <s v="France"/>
    <d v="2014-04-23T00:00:00"/>
    <n v="10"/>
    <s v="Mulhouse (68), France"/>
    <m/>
    <s v="Oui"/>
    <s v="ADH-715026"/>
    <s v="Adhérent·e"/>
    <s v="Non"/>
    <s v="LEFEVRE"/>
    <s v="MALIKA"/>
    <s v="malika.zbi@hotmail.fr"/>
    <m/>
    <s v="07 50 92 72 99"/>
    <s v="LEFEVRE"/>
    <s v="JOHNNY"/>
    <s v="nepasutiliser3@gmail.com"/>
    <x v="2"/>
    <x v="10"/>
    <s v="GRAND EST"/>
  </r>
  <r>
    <s v="MELINE"/>
    <s v="ATHENAIS"/>
    <m/>
    <m/>
    <s v="F"/>
    <s v="bastien.meline@hotmail.fr"/>
    <m/>
    <s v="06 83 60 87 66"/>
    <s v="8 rue des vannes"/>
    <m/>
    <m/>
    <s v="10800"/>
    <s v="saint julien les villas"/>
    <m/>
    <d v="2014-12-09T00:00:00"/>
    <n v="9"/>
    <s v="Troyes (10), France"/>
    <m/>
    <s v="Oui"/>
    <s v="ADH-704027"/>
    <s v="Adhérent·e"/>
    <s v="Non"/>
    <s v="MARIETTE"/>
    <s v="ALIENOR"/>
    <s v="alienor.mariette@hotmail.fr"/>
    <m/>
    <s v="06 68 48 15 51"/>
    <s v="MELINE"/>
    <s v="BASTIEN"/>
    <s v="bastien.meline@hotmail.fr"/>
    <x v="2"/>
    <x v="2"/>
    <s v="GRAND EST"/>
  </r>
  <r>
    <s v="MIRAIL"/>
    <s v="FELIX"/>
    <m/>
    <m/>
    <s v="M"/>
    <s v="sociolojo@gmail.com"/>
    <m/>
    <s v="06 63 85 48 92"/>
    <s v="24 rue principale"/>
    <m/>
    <m/>
    <s v="68230"/>
    <s v="Zimmerbach"/>
    <s v="France"/>
    <d v="2016-10-21T00:00:00"/>
    <n v="7"/>
    <s v="Strasbourg (67), France"/>
    <m/>
    <s v="Oui"/>
    <s v="ADH-710353"/>
    <s v="Adhérent·e"/>
    <s v="Avec MATHIEU ALEXANDRE"/>
    <s v="MEYNIER"/>
    <s v="JOHANA"/>
    <s v="sociolojo@gmail.com"/>
    <m/>
    <s v="06 63 85 48 92"/>
    <s v="MIRAIL"/>
    <s v="JEROME"/>
    <s v="initram1@gmail.com"/>
    <x v="2"/>
    <x v="10"/>
    <s v="GRAND EST"/>
  </r>
  <r>
    <s v="MOYANO CACHAMBU"/>
    <s v="ALMA"/>
    <m/>
    <m/>
    <s v="F"/>
    <s v="federico.moyano@hotmail.com"/>
    <m/>
    <s v="07 68 93 73 36"/>
    <s v="6 RUE GERMAINE TILLMON"/>
    <m/>
    <m/>
    <s v="57950"/>
    <s v="MONTIGNY LES METZ"/>
    <s v="France"/>
    <d v="2013-08-12T00:00:00"/>
    <n v="11"/>
    <s v="Rio Cuarto (Arg)"/>
    <m/>
    <s v="Oui"/>
    <s v="ADH-611508"/>
    <s v="Adhérent·e"/>
    <s v="Non"/>
    <s v="MOYANO"/>
    <s v="FEDERICO"/>
    <s v="federico.moyano@hotmail.com"/>
    <m/>
    <s v="07 68 93 73 36"/>
    <s v="CACHAMBU"/>
    <s v="GISELLA"/>
    <s v="gisecachambu@gmail.com"/>
    <x v="2"/>
    <x v="6"/>
    <s v="GRAND EST"/>
  </r>
  <r>
    <s v="MULLER"/>
    <s v="LOGAN"/>
    <m/>
    <m/>
    <s v="M"/>
    <m/>
    <m/>
    <m/>
    <s v="30 rue de Soultz"/>
    <m/>
    <m/>
    <s v="68500"/>
    <s v="Jungholtz"/>
    <s v="France"/>
    <d v="2008-04-20T00:00:00"/>
    <n v="16"/>
    <s v="Moehlin"/>
    <m/>
    <s v="Oui"/>
    <s v="ADH-709252"/>
    <s v="Adhérent·e"/>
    <s v="Seul·e"/>
    <s v="BLANCHARD"/>
    <s v="MÉLANIE"/>
    <s v="tradiyoga@gmail.com"/>
    <m/>
    <s v="06 76 41 49 47"/>
    <s v="DUVAL"/>
    <s v="JULIEN"/>
    <s v="lowcaltech@gmail.com"/>
    <x v="2"/>
    <x v="0"/>
    <s v="GRAND EST"/>
  </r>
  <r>
    <s v="POESY"/>
    <s v="CLEMENT"/>
    <m/>
    <m/>
    <s v="M"/>
    <s v="emilie.bidon@hotmail.fr"/>
    <m/>
    <s v="06 34 59 63 44"/>
    <s v="5 rue du hackenberg"/>
    <m/>
    <m/>
    <s v="57920"/>
    <s v="Monneren"/>
    <s v="France"/>
    <d v="2012-01-31T00:00:00"/>
    <n v="12"/>
    <s v="Thionville (57), France"/>
    <m/>
    <s v="Oui"/>
    <s v="ADH-605998"/>
    <s v="Adhérent·e"/>
    <s v="Avec GISÈLE-JEAN BERNARD BIDON"/>
    <s v="POESY"/>
    <s v="EMILIE"/>
    <s v="emilie.bidon@hotmail.fr"/>
    <s v="03 82 50 22 22"/>
    <s v="06 34 59 63 44"/>
    <s v="POESY"/>
    <s v="JULIEN"/>
    <s v="julienpoesy@yahoo.fr"/>
    <x v="2"/>
    <x v="11"/>
    <s v="GRAND EST"/>
  </r>
  <r>
    <s v="PORTOCARRERO"/>
    <s v="SANTIAGO"/>
    <m/>
    <m/>
    <s v="M"/>
    <s v="julie.portocarrero@protonmail.com"/>
    <m/>
    <s v="06 76 36 46 10"/>
    <s v="8 rue Vayringe"/>
    <m/>
    <m/>
    <s v="54000"/>
    <s v="NANCY"/>
    <s v="France"/>
    <d v="2011-07-30T00:00:00"/>
    <n v="13"/>
    <s v="LIMA"/>
    <m/>
    <s v="Oui"/>
    <s v="ADH-703341"/>
    <s v="Adhérent·e"/>
    <s v="Seul·e"/>
    <s v="PORTOCARRERO"/>
    <s v="JULIE"/>
    <s v="julie.portocarrero@protonmail.com"/>
    <m/>
    <s v="06 76 36 46 10"/>
    <s v="PORTOCARRERO"/>
    <s v="OSCAR"/>
    <s v="portocarrero.oscar@protonmail.com"/>
    <x v="2"/>
    <x v="12"/>
    <s v="GRAND EST"/>
  </r>
  <r>
    <s v="PREVOST"/>
    <s v="OSCAR"/>
    <m/>
    <m/>
    <s v="M"/>
    <m/>
    <m/>
    <m/>
    <s v="49 rue de l'eglise"/>
    <m/>
    <m/>
    <s v="54220"/>
    <s v="malzeville"/>
    <s v="France"/>
    <d v="2016-06-22T00:00:00"/>
    <n v="8"/>
    <s v="Nancy (54), France"/>
    <m/>
    <s v="Non"/>
    <s v="ADH-715307"/>
    <s v="Adhérent·e"/>
    <s v="Avec AMBRE PELLETIER"/>
    <s v="PELLETIER"/>
    <s v="AMBRE"/>
    <m/>
    <m/>
    <s v="06 82 38 90 62"/>
    <s v="PREVOST"/>
    <s v="AURÉLIEN"/>
    <m/>
    <x v="2"/>
    <x v="12"/>
    <s v="GRAND EST"/>
  </r>
  <r>
    <s v="REGNIER"/>
    <s v="MAXENCE"/>
    <s v="REGNIER"/>
    <m/>
    <s v="M"/>
    <s v="stephsigiel@wanadoo.fr"/>
    <s v="06 10 59 27 17"/>
    <m/>
    <s v="5 clos des vignes"/>
    <m/>
    <m/>
    <s v="57310"/>
    <s v="RURANGE LES THIONVILLE"/>
    <m/>
    <d v="2012-06-25T00:00:00"/>
    <n v="12"/>
    <s v="Nancy (54), France"/>
    <m/>
    <s v="Oui"/>
    <s v="ADH-717746"/>
    <s v="Adhérent·e"/>
    <s v="Seul·e"/>
    <s v="REGNIER"/>
    <s v="CHRISTOPHE"/>
    <s v="christophe.regnier@hotmail.fr"/>
    <s v="06 51 76 90 27"/>
    <m/>
    <s v="REGNIER"/>
    <s v="STEPHANIE"/>
    <s v="stephsigiel@wanadoo.fr"/>
    <x v="2"/>
    <x v="11"/>
    <s v="GRAND EST"/>
  </r>
  <r>
    <s v="STEINER"/>
    <s v="HUGO"/>
    <m/>
    <m/>
    <s v="M"/>
    <m/>
    <m/>
    <m/>
    <s v="4 rue des chaudronniers"/>
    <m/>
    <m/>
    <s v="68360"/>
    <s v="Soultz"/>
    <s v="France"/>
    <d v="2014-11-24T00:00:00"/>
    <n v="9"/>
    <s v="Colmar (68), France"/>
    <m/>
    <s v="Non"/>
    <s v="ADH-709002"/>
    <s v="Adhérent·e"/>
    <s v="Seul·e"/>
    <s v="STEINER"/>
    <s v="NICOLAS"/>
    <s v="steiner.nicolas68@gmail.com"/>
    <m/>
    <s v="06 04 05 39 78"/>
    <s v="LABROSSE"/>
    <s v="CHARLOTTE"/>
    <s v="charlotte.labrosse@laposte.net"/>
    <x v="2"/>
    <x v="0"/>
    <s v="GRAND EST"/>
  </r>
  <r>
    <s v="STEPHANO"/>
    <s v="ERINE"/>
    <m/>
    <m/>
    <s v="F"/>
    <m/>
    <m/>
    <m/>
    <s v="84 rue de Thionville"/>
    <m/>
    <m/>
    <s v="57300"/>
    <s v="Ay-Sur-Moselle"/>
    <m/>
    <d v="2014-03-13T00:00:00"/>
    <n v="10"/>
    <s v="Metz (57), France"/>
    <m/>
    <s v="Oui"/>
    <s v="ADH-715717"/>
    <s v="Adhérent·e"/>
    <s v="Avec REMI STEPHANO"/>
    <s v="STEPHANO"/>
    <s v="REMI"/>
    <s v="remistephano@outlook.fr"/>
    <m/>
    <s v="06 44 33 74 74"/>
    <s v="CHUDZY"/>
    <s v="DELPHÎNE"/>
    <m/>
    <x v="2"/>
    <x v="11"/>
    <s v="GRAND EST"/>
  </r>
  <r>
    <s v="THIRIET"/>
    <s v="MATHYS"/>
    <m/>
    <m/>
    <s v="M"/>
    <m/>
    <m/>
    <m/>
    <s v="12 rue du 18 juin 1940"/>
    <m/>
    <m/>
    <s v="57070"/>
    <s v="Metz"/>
    <m/>
    <d v="2014-05-01T00:00:00"/>
    <n v="10"/>
    <s v="Metz (57), France"/>
    <m/>
    <s v="Oui"/>
    <s v="ADH-715954"/>
    <s v="Adhérent·e"/>
    <s v="Non"/>
    <s v="THIRIET"/>
    <s v="ANTHONY"/>
    <s v="anthony.thiriet2017@gmail.com"/>
    <m/>
    <s v="06 83 64 91 21"/>
    <s v="KIENER"/>
    <s v="ALINE"/>
    <s v="aline.kiener@gmail.com"/>
    <x v="2"/>
    <x v="6"/>
    <s v="GRAND EST"/>
  </r>
  <r>
    <s v="WOESSNER"/>
    <s v="LOUISON"/>
    <m/>
    <m/>
    <s v="M"/>
    <s v="woessnerp@yahoo.fr"/>
    <s v="03 88 97 45 85"/>
    <s v="06 95 38 28 80"/>
    <s v="24 Rue Aufschlager"/>
    <m/>
    <m/>
    <s v="67100"/>
    <s v="Strasbourg"/>
    <s v="France"/>
    <d v="2008-04-29T00:00:00"/>
    <n v="16"/>
    <s v="Schiltigheim (67), France"/>
    <m/>
    <s v="Oui"/>
    <s v="ADH-706362"/>
    <s v="Adhérent·e"/>
    <s v="Avec ANNE WOESSNER"/>
    <s v="WOESSNER"/>
    <s v="PHILIPPE"/>
    <s v="p.woessner@promogim.fr"/>
    <s v="03 88 97 45 85"/>
    <s v="06 79 20 39 66"/>
    <s v="WOESSNER"/>
    <s v="ANNE"/>
    <s v="woessnerp@yahoo.fr"/>
    <x v="2"/>
    <x v="1"/>
    <s v="GRAND EST"/>
  </r>
  <r>
    <s v="WOLFF"/>
    <s v="ELSA"/>
    <m/>
    <m/>
    <s v="F"/>
    <s v="seb.wolff81@gmail.com"/>
    <s v="09 75 52 02 96"/>
    <s v="06 49 76 95 50"/>
    <s v="23 rue de l'Angreth"/>
    <m/>
    <m/>
    <s v="68500"/>
    <s v="Guebwiller"/>
    <m/>
    <d v="2013-11-21T00:00:00"/>
    <n v="10"/>
    <s v="Guebwiller (68), France"/>
    <m/>
    <s v="Non"/>
    <s v="ADH-715835"/>
    <s v="Adhérent·e"/>
    <s v="Avec SYLVIE WOLF"/>
    <s v="WOLFF"/>
    <s v="SÉBASTIEN"/>
    <s v="seb.wolff81@gmail.com"/>
    <s v="09 75 52 02 96"/>
    <s v="06 49 76 95 50"/>
    <s v="DEMOULIN"/>
    <s v="SANDRINE"/>
    <s v="wolf_sandrine81@yahoo.fr"/>
    <x v="2"/>
    <x v="0"/>
    <s v="GRAND EST"/>
  </r>
  <r>
    <s v="WULLENS"/>
    <s v="ADELIE"/>
    <m/>
    <m/>
    <s v="F"/>
    <m/>
    <m/>
    <m/>
    <s v="22 rue du berceau"/>
    <m/>
    <m/>
    <s v="90400"/>
    <s v="Meroux-Moval"/>
    <s v="France"/>
    <d v="2013-05-16T00:00:00"/>
    <n v="11"/>
    <s v="Belfort (90), France"/>
    <m/>
    <s v="Oui"/>
    <s v="ADH-709248"/>
    <s v="Adhérent·e"/>
    <s v="Avec JEAN MARC WULLENS"/>
    <s v="WULLENS"/>
    <s v="JEAN-MARC"/>
    <s v="jwullens@hotmail.com"/>
    <s v="03 84 46 26 10"/>
    <s v="06 85 20 22 59"/>
    <s v="WULLENS"/>
    <s v="SOPHET"/>
    <s v="jwullens@hotmail.com"/>
    <x v="2"/>
    <x v="10"/>
    <s v="GRAND EST"/>
  </r>
  <r>
    <s v="YAGUE"/>
    <s v="ARIEL"/>
    <m/>
    <m/>
    <s v="M"/>
    <s v="yague.ariel@gmail.com"/>
    <s v="03 25 41 07 93"/>
    <m/>
    <s v="15 RUE JEAN LOUIS DELAPORTE"/>
    <m/>
    <m/>
    <s v="10000"/>
    <s v="TROYES"/>
    <s v="France"/>
    <d v="2008-12-05T00:00:00"/>
    <n v="15"/>
    <s v="Troyes (10), France"/>
    <m/>
    <s v="Oui"/>
    <s v="ADH-582772"/>
    <s v="Adhérent·e"/>
    <s v="Seul·e"/>
    <s v="YAGUE"/>
    <s v="LUIS"/>
    <s v="lar.yague@gmail.com"/>
    <s v="03 25 41 07 93"/>
    <s v="06 85 32 27 47"/>
    <s v="YAGUE"/>
    <s v="DELPHINE"/>
    <s v="delphine.yague@gmail.com"/>
    <x v="2"/>
    <x v="2"/>
    <s v="GRAND EST"/>
  </r>
  <r>
    <s v="ZDROJEWSKI"/>
    <s v="CHLOE"/>
    <m/>
    <m/>
    <s v="F"/>
    <s v="zdrojewskikatia@gmail.com"/>
    <m/>
    <s v="06 43 08 73 63"/>
    <s v="41, rue des Mésanges"/>
    <m/>
    <m/>
    <s v="57525"/>
    <s v="Talange"/>
    <m/>
    <d v="2009-12-29T00:00:00"/>
    <n v="14"/>
    <s v="Toul (54), France"/>
    <m/>
    <s v="Oui"/>
    <s v="ADH-706734"/>
    <s v="Adhérent·e"/>
    <s v="Avec VERONIQUE ARGELLO"/>
    <s v="ZDROJEWSKI"/>
    <s v="KATIA"/>
    <s v="zdrojewskikatia@gmail.com"/>
    <m/>
    <s v="06 43 08 73 63"/>
    <s v="ZDROJEWSKI"/>
    <s v="FRANÇOIS"/>
    <s v="zdrojewskikatia@gmail.com"/>
    <x v="2"/>
    <x v="11"/>
    <s v="GRAND EST"/>
  </r>
  <r>
    <s v="ANZA-BERTHAUD"/>
    <s v="THY-BAÏ"/>
    <m/>
    <m/>
    <s v="F"/>
    <m/>
    <m/>
    <s v="06 51 08 79 15"/>
    <s v="41 Rue des Sports"/>
    <m/>
    <m/>
    <s v="67100"/>
    <s v="Strasbourg"/>
    <s v="France"/>
    <d v="2008-08-17T00:00:00"/>
    <n v="16"/>
    <s v="Strasbourg (67), France"/>
    <m/>
    <s v="Oui"/>
    <s v="ADH-706319"/>
    <s v="Adhérent·e"/>
    <s v="Seul·e"/>
    <s v="BERTHAUD"/>
    <s v="FRÉDÉRIQUE"/>
    <s v="frederic.berthaud@gmail.com"/>
    <m/>
    <s v="06 77 41 43 87"/>
    <s v="ANZA"/>
    <s v="NGUYEN"/>
    <m/>
    <x v="3"/>
    <x v="1"/>
    <s v="GRAND EST"/>
  </r>
  <r>
    <s v="ATIK KRAFT"/>
    <s v="YADOU"/>
    <m/>
    <m/>
    <s v="M"/>
    <m/>
    <m/>
    <m/>
    <s v="75 Av. des Vosges"/>
    <m/>
    <m/>
    <s v="67000"/>
    <s v="STRASBOURG"/>
    <s v="France"/>
    <d v="2010-10-02T00:00:00"/>
    <n v="13"/>
    <s v="Strasbourg (67), France"/>
    <m/>
    <s v="Oui"/>
    <s v="ADH-608623"/>
    <s v="Adhérent·e"/>
    <s v="Avec NADINE KRAFT"/>
    <s v="KRAFT"/>
    <s v="NADINE"/>
    <s v="kraft.nadine@orange.fr"/>
    <m/>
    <s v="06 18 76 42 28"/>
    <m/>
    <m/>
    <m/>
    <x v="3"/>
    <x v="1"/>
    <s v="GRAND EST"/>
  </r>
  <r>
    <s v="BAUER"/>
    <s v="DIANE"/>
    <m/>
    <m/>
    <s v="F"/>
    <s v="DOMINIQUE.BAUER2@WANADOO.FR"/>
    <s v="06 63 15 76 33"/>
    <s v="06 82 88 71 19"/>
    <s v="78 rue robert schumann"/>
    <m/>
    <m/>
    <s v="57320"/>
    <s v="Freistroff"/>
    <m/>
    <d v="2012-12-21T00:00:00"/>
    <n v="11"/>
    <s v="Metz (57), France"/>
    <m/>
    <s v="Oui"/>
    <s v="ADH-615000"/>
    <s v="Adhérent·e"/>
    <s v="Avec DOMINIQUE BAUER"/>
    <s v="COLLIN"/>
    <s v="ISABELLE"/>
    <s v="isacollin78@gmail.com"/>
    <m/>
    <s v="06 63 15 76 33"/>
    <s v="BAUER"/>
    <s v="DOMINIQUE"/>
    <s v="DOMINIQUE.BAUER2@WANADOO.FR"/>
    <x v="3"/>
    <x v="11"/>
    <s v="GRAND EST"/>
  </r>
  <r>
    <s v="BISBEE"/>
    <s v="SIMON"/>
    <m/>
    <m/>
    <s v="M"/>
    <s v="carriefarrell@yahoo.com"/>
    <m/>
    <m/>
    <s v="34 ROUTE DE LA MEINAU"/>
    <m/>
    <m/>
    <s v="67100"/>
    <s v="STRASBOURG"/>
    <m/>
    <d v="2013-07-29T00:00:00"/>
    <n v="11"/>
    <m/>
    <m/>
    <s v="Oui"/>
    <s v="ADH-715179"/>
    <s v="Adhérent·e"/>
    <s v="Avec NOLAN BISBEE"/>
    <s v="BISBEE"/>
    <s v="CARRIE"/>
    <s v="carriefarrell@yahoo.com"/>
    <m/>
    <s v="06 74 39 36 37"/>
    <s v="BISBEE"/>
    <s v="BRIAN"/>
    <s v="brian@brianbisbee.com"/>
    <x v="3"/>
    <x v="1"/>
    <s v="GRAND EST"/>
  </r>
  <r>
    <s v="BONNEVILLE"/>
    <s v="TIMOTHÉE"/>
    <m/>
    <m/>
    <s v="M"/>
    <s v="celine.bechler@lalsace.fr"/>
    <m/>
    <s v="06 47 43 69 59"/>
    <s v="9 rue de Zurich"/>
    <m/>
    <m/>
    <s v="68100"/>
    <s v="MULHOUSE"/>
    <s v="France"/>
    <d v="2013-08-07T00:00:00"/>
    <n v="11"/>
    <s v="Mulhouse (68), France"/>
    <m/>
    <s v="Oui"/>
    <s v="ADH-616703"/>
    <s v="Adhérent·e"/>
    <s v="Seul·e"/>
    <s v="BECHLER"/>
    <s v="CÉLINE"/>
    <s v="celine.bechler@laslsace.fr"/>
    <m/>
    <s v="06 47 43 69 59"/>
    <m/>
    <m/>
    <m/>
    <x v="3"/>
    <x v="10"/>
    <s v="GRAND EST"/>
  </r>
  <r>
    <s v="BOUTILLOT"/>
    <s v="EULALIE"/>
    <m/>
    <m/>
    <s v="F"/>
    <s v="aurelie.capraro@gmail.com"/>
    <m/>
    <s v="06 85 02 90 29"/>
    <s v="34 rue de Raedersheim"/>
    <m/>
    <m/>
    <s v="68190"/>
    <s v="Ungersheim"/>
    <m/>
    <d v="2014-11-14T00:00:00"/>
    <n v="9"/>
    <s v="Mulhouse (68), France"/>
    <m/>
    <s v="Oui"/>
    <s v="ADH-705207"/>
    <s v="Adhérent·e"/>
    <s v="Avec KARINE BONNET"/>
    <s v="BOUTILLOT"/>
    <s v="CAMILLE"/>
    <s v="camille.boutillot@gmail.com"/>
    <m/>
    <s v="07 82 15 33 28"/>
    <s v="CAPRARO"/>
    <s v="AURÉLIE"/>
    <s v="aurelie.capraro@gmail.com"/>
    <x v="3"/>
    <x v="10"/>
    <s v="GRAND EST"/>
  </r>
  <r>
    <s v="BUISSON"/>
    <s v="PAUL"/>
    <m/>
    <m/>
    <s v="M"/>
    <m/>
    <m/>
    <m/>
    <s v="16 Rue Jacques Peirotes"/>
    <m/>
    <m/>
    <s v="67000"/>
    <s v="Strasbourg"/>
    <s v="France"/>
    <d v="2016-12-02T00:00:00"/>
    <n v="7"/>
    <s v="Schiltigheim (67), France"/>
    <m/>
    <s v="Oui"/>
    <s v="ADH-710730"/>
    <s v="Adhérent·e"/>
    <s v="Avec MARIE DORLÉANS"/>
    <s v="BUISSON"/>
    <s v="CHARLOTTE"/>
    <s v="charlottewernert@gmaill.com"/>
    <m/>
    <s v="06 84 49 71 87"/>
    <s v="BUISSON"/>
    <s v="CHARLES"/>
    <s v="charlesbuisson@gmail.com"/>
    <x v="3"/>
    <x v="1"/>
    <s v="GRAND EST"/>
  </r>
  <r>
    <s v="CAPON"/>
    <s v="IANIS"/>
    <m/>
    <m/>
    <s v="M"/>
    <m/>
    <m/>
    <s v="06 72 40 21 90"/>
    <s v="24 rue principale"/>
    <m/>
    <m/>
    <s v="68210"/>
    <s v="Falkwiller"/>
    <s v="France"/>
    <d v="2015-04-25T00:00:00"/>
    <n v="9"/>
    <s v="Mulhouse (68), France"/>
    <m/>
    <s v="Oui"/>
    <s v="ADH-715171"/>
    <s v="Adhérent·e"/>
    <s v="Avec ALEXANDRA CAPON"/>
    <s v="CAPON"/>
    <s v="ALEXANDRA"/>
    <s v="caponalexandra@gmail.com"/>
    <m/>
    <s v="06 72 40 21 90"/>
    <s v="CAPON"/>
    <s v="NICOLAS"/>
    <s v="nicolas.capon.pro@gmail.com"/>
    <x v="3"/>
    <x v="10"/>
    <s v="GRAND EST"/>
  </r>
  <r>
    <s v="CHAMPAGNE"/>
    <s v="ADRIEN"/>
    <m/>
    <m/>
    <s v="M"/>
    <s v="stephanie.gabel@hotmail.fr"/>
    <m/>
    <s v="06 64 20 73 19"/>
    <s v="7 place de la baronne"/>
    <m/>
    <m/>
    <s v="57530"/>
    <s v="ars laquenexy"/>
    <m/>
    <d v="2013-11-29T00:00:00"/>
    <n v="10"/>
    <s v="Pontoise (95), France"/>
    <m/>
    <s v="Oui"/>
    <s v="ADH-708845"/>
    <s v="Adhérent·e"/>
    <s v="Non"/>
    <s v="GABEL"/>
    <s v="STEPHANIE"/>
    <s v="stephanie.gabel@hotmail.fr"/>
    <s v="06 64 20 73 19"/>
    <m/>
    <s v="CHAMPAGNE"/>
    <s v="GUILLAUME"/>
    <s v="guillaume.champagne@free.fr"/>
    <x v="3"/>
    <x v="6"/>
    <s v="GRAND EST"/>
  </r>
  <r>
    <s v="CHARBONNIER"/>
    <s v="ROSE"/>
    <m/>
    <m/>
    <s v="F"/>
    <s v="lauraserve@hotmail.com"/>
    <m/>
    <s v="06 13 47 04 23"/>
    <s v="8 ALLÉE DES TILLEULS"/>
    <m/>
    <m/>
    <s v="57157"/>
    <s v="MARLY [57157]"/>
    <s v="France"/>
    <d v="2013-06-06T00:00:00"/>
    <n v="11"/>
    <s v="Châlons-en-Champagne (51), France"/>
    <m/>
    <s v="Oui"/>
    <s v="ADH-611446"/>
    <s v="Adhérent·e"/>
    <s v="Avec FREDERICO MOYANO"/>
    <s v="CHARBONNIER"/>
    <s v="GILLES"/>
    <s v="gillescharbonnier@live.fr"/>
    <m/>
    <s v="06 10 80 80 23"/>
    <s v="CHARBONNIER"/>
    <s v="LAURA"/>
    <s v="lauraserve@hotmail.com"/>
    <x v="3"/>
    <x v="6"/>
    <s v="GRAND EST"/>
  </r>
  <r>
    <s v="CHAXEL"/>
    <s v="MAYA"/>
    <m/>
    <m/>
    <s v="F"/>
    <s v="teuf57@gmx.fr"/>
    <m/>
    <s v="07 80 48 15 85"/>
    <s v="1 rue de Boulay"/>
    <m/>
    <m/>
    <s v="57220"/>
    <s v="Boucheporn"/>
    <s v="France"/>
    <d v="2009-11-18T00:00:00"/>
    <n v="14"/>
    <s v="Saint-Avold (57), France"/>
    <m/>
    <s v="Oui"/>
    <s v="ADH-608739"/>
    <s v="Adhérent·e"/>
    <s v="Non"/>
    <s v="CHAXEL"/>
    <s v="JUSTINE"/>
    <s v="teuf57@gmx.fr"/>
    <m/>
    <s v="07 80 48 15 85"/>
    <s v="CHAXEL"/>
    <s v="RAPHAEL"/>
    <s v="teuf57@gmx.fr"/>
    <x v="3"/>
    <x v="11"/>
    <s v="GRAND EST"/>
  </r>
  <r>
    <s v="CHERPIN"/>
    <s v="LILOU"/>
    <m/>
    <m/>
    <s v="F"/>
    <s v="yoko.mitsukoto@gmail.com"/>
    <s v="03 25 81 21 52"/>
    <s v="06 95 88 13 98"/>
    <s v="11 CHEMIN DE CHAOURCE"/>
    <m/>
    <m/>
    <s v="10450"/>
    <s v="BREVIANDES"/>
    <s v="France"/>
    <d v="2007-12-10T00:00:00"/>
    <n v="16"/>
    <s v="Troyes (10), France"/>
    <m/>
    <s v="Oui"/>
    <s v="ADH-589384"/>
    <s v="Adhérent·e"/>
    <s v="Seul·e"/>
    <s v="CHERPIN"/>
    <s v="LOIC"/>
    <s v="cherpin.loic@gmail.com"/>
    <s v="03 25 81 21 52"/>
    <s v="06 74 45 55 96"/>
    <s v="CHERPIN"/>
    <s v="STEPHANIE"/>
    <s v="stephanie.cherpin@gmail.com"/>
    <x v="3"/>
    <x v="2"/>
    <s v="GRAND EST"/>
  </r>
  <r>
    <s v="CHEVALLOT QUINET"/>
    <s v="LILY"/>
    <m/>
    <m/>
    <s v="F"/>
    <s v="lilychevallot@gmail.com"/>
    <s v="07 60 19 26 87"/>
    <m/>
    <s v="18 rue Mazelle"/>
    <m/>
    <m/>
    <s v="57000"/>
    <s v="Metz"/>
    <s v="France"/>
    <d v="2009-03-04T00:00:00"/>
    <n v="15"/>
    <s v="Bouar"/>
    <m/>
    <s v="Oui"/>
    <s v="ADH-702870"/>
    <s v="Adhérent·e"/>
    <s v="Seul·e"/>
    <s v="QUINET"/>
    <s v="MARIELLE"/>
    <s v="mariellequinet@gmail.com"/>
    <s v="06 62 85 69 01"/>
    <m/>
    <s v="CHEVALLOT"/>
    <s v="PHILIPPE"/>
    <s v="phchevallot@gmail.com"/>
    <x v="3"/>
    <x v="6"/>
    <s v="GRAND EST"/>
  </r>
  <r>
    <s v="COUTIN"/>
    <s v="AUGUSTE"/>
    <m/>
    <m/>
    <s v="M"/>
    <m/>
    <m/>
    <m/>
    <s v="28 Rue de Bruxelles"/>
    <m/>
    <m/>
    <s v="67000"/>
    <s v="STRASBOURG"/>
    <m/>
    <d v="2016-07-18T00:00:00"/>
    <n v="8"/>
    <m/>
    <m/>
    <s v="Oui"/>
    <s v="ADH-716453"/>
    <s v="Adhérent·e"/>
    <s v="Non"/>
    <s v="SANDT"/>
    <s v="GAELLE"/>
    <s v="gaellesandt@hotmail.com"/>
    <m/>
    <s v="06 63 54 13 23"/>
    <s v="COUTIN"/>
    <s v="EMMANUEL"/>
    <s v="coutin.emmanuel@yahoo.fr"/>
    <x v="3"/>
    <x v="1"/>
    <s v="GRAND EST"/>
  </r>
  <r>
    <s v="DABDOUBI"/>
    <s v="NAIL"/>
    <m/>
    <m/>
    <s v="M"/>
    <s v="khuudrifatima@gmail.com"/>
    <m/>
    <s v="06 78 59 60 47"/>
    <s v="100 rue Etienne Pédron"/>
    <m/>
    <m/>
    <s v="10000"/>
    <s v="TROYES"/>
    <m/>
    <d v="2011-06-09T00:00:00"/>
    <n v="13"/>
    <s v="Troyes (10), France"/>
    <m/>
    <s v="Non"/>
    <s v="ADH-717363"/>
    <s v="Adhérent·e"/>
    <s v="Non"/>
    <s v="DABDOUBI"/>
    <s v="DRISS"/>
    <s v="xx@xx.fr"/>
    <m/>
    <s v="06 19 41 62 88"/>
    <s v="DABDOUBI"/>
    <s v="FATIMA"/>
    <s v="khuudrifatima@gmail.com"/>
    <x v="3"/>
    <x v="2"/>
    <s v="GRAND EST"/>
  </r>
  <r>
    <s v="DELRIEU"/>
    <s v="MARTIN"/>
    <m/>
    <m/>
    <s v="M"/>
    <s v="stephdelrieu2023@gmail.com"/>
    <s v="03 55 74 51 19"/>
    <s v="06 20 49 31 27"/>
    <s v="18 RUE DE L'ABREUVOIR"/>
    <m/>
    <m/>
    <s v="57000"/>
    <s v="METZ"/>
    <s v="France"/>
    <d v="2008-01-12T00:00:00"/>
    <n v="16"/>
    <s v="Metz (57), France"/>
    <m/>
    <s v="Oui"/>
    <s v="ADH-599598"/>
    <s v="Adhérent·e"/>
    <s v="Seul·e"/>
    <s v="DELRIEU"/>
    <s v="PHILIPPE"/>
    <s v="delrieuphil2@gmail.com"/>
    <s v="03 55 74 51 19"/>
    <s v="06 60 87 97 01"/>
    <s v="DELRIEU"/>
    <s v="STEPHANIE"/>
    <s v="stephdelrieu2023@gmail.com"/>
    <x v="3"/>
    <x v="6"/>
    <s v="GRAND EST"/>
  </r>
  <r>
    <s v="DUMET"/>
    <s v="LOUISE"/>
    <m/>
    <m/>
    <s v="F"/>
    <s v="lrtdumet@gmail.com"/>
    <m/>
    <s v="06 68 17 50 57"/>
    <s v="8 rue de la haute beux"/>
    <m/>
    <m/>
    <s v="57580"/>
    <s v="BEUX"/>
    <s v="France"/>
    <d v="2010-11-24T00:00:00"/>
    <n v="13"/>
    <s v="Verdun"/>
    <m/>
    <s v="Oui"/>
    <s v="ADH-710755"/>
    <s v="Adhérent·e"/>
    <s v="Avec LAURENT DUMET"/>
    <s v="BLANC"/>
    <s v="CAROLINE"/>
    <m/>
    <m/>
    <s v="06 80 98 48 92"/>
    <s v="DUMET"/>
    <s v="LAURENT"/>
    <s v="lrtdumet@gmail.com"/>
    <x v="3"/>
    <x v="4"/>
    <s v="GRAND EST"/>
  </r>
  <r>
    <s v="ETAIX"/>
    <s v="GWENDOLINE"/>
    <m/>
    <m/>
    <s v="F"/>
    <s v="gwendolineetaix57@gmail.com"/>
    <m/>
    <m/>
    <s v="5 impasse des violettes"/>
    <m/>
    <m/>
    <s v="57320"/>
    <s v="Tromborn"/>
    <s v="France"/>
    <d v="2008-07-26T00:00:00"/>
    <n v="16"/>
    <s v="Haguenau (67), France"/>
    <m/>
    <s v="Oui"/>
    <s v="ADH-700719"/>
    <s v="Adhérent·e"/>
    <s v="Non"/>
    <s v="LEBRUN"/>
    <s v="KARINE"/>
    <s v="lebrunkarine57@yahoo.com"/>
    <m/>
    <s v="07 71 59 19 75"/>
    <m/>
    <m/>
    <m/>
    <x v="3"/>
    <x v="11"/>
    <s v="GRAND EST"/>
  </r>
  <r>
    <s v="FISCHER"/>
    <s v="ANNA"/>
    <m/>
    <m/>
    <s v="F"/>
    <m/>
    <m/>
    <m/>
    <s v="9 rue d'Héricourt"/>
    <m/>
    <m/>
    <s v="68200"/>
    <s v="MULHOUSE"/>
    <m/>
    <d v="2014-03-01T00:00:00"/>
    <n v="10"/>
    <m/>
    <m/>
    <s v="Oui"/>
    <s v="ADH-709249"/>
    <s v="Adhérent·e"/>
    <s v="Avec VIRGINIE ET MICKAEL KAISER"/>
    <s v="PETILLON"/>
    <s v="SOPHIE"/>
    <s v="s.petillon@hotmail.fr"/>
    <m/>
    <s v="06 72 80 67 17"/>
    <s v="FISCHER"/>
    <s v="BAPTISTE"/>
    <s v="bapfischer@msn.com"/>
    <x v="3"/>
    <x v="10"/>
    <s v="GRAND EST"/>
  </r>
  <r>
    <s v="FOEHRLE HAMMES"/>
    <s v="JOACHIM"/>
    <m/>
    <m/>
    <s v="M"/>
    <m/>
    <m/>
    <s v="06 82 34 52 27"/>
    <s v="35 rue de la forêt"/>
    <m/>
    <m/>
    <s v="68 230"/>
    <s v="Walbach"/>
    <s v="France"/>
    <d v="2013-10-16T00:00:00"/>
    <n v="10"/>
    <s v="Colmar (68), France"/>
    <m/>
    <s v="Oui"/>
    <s v="ADH-704538"/>
    <s v="Adhérent·e"/>
    <s v="Avec SEBASTIEN / STAPHANIE HAMMES / FOEHRLE"/>
    <s v="HAMMES"/>
    <s v="SEBASTIEN"/>
    <s v="hammessebastien@gmail.com"/>
    <m/>
    <s v="06 82 34 52 27"/>
    <m/>
    <m/>
    <m/>
    <x v="3"/>
    <x v="1"/>
    <s v="GRAND EST"/>
  </r>
  <r>
    <s v="FONFRIA WITTMER"/>
    <s v="GABRIEL"/>
    <m/>
    <m/>
    <s v="M"/>
    <m/>
    <m/>
    <m/>
    <s v="37 rue Emile Gebhart"/>
    <m/>
    <m/>
    <s v="54000"/>
    <s v="Nancy"/>
    <s v="France"/>
    <d v="2014-10-13T00:00:00"/>
    <n v="9"/>
    <s v="Remiremont (88), France"/>
    <m/>
    <s v="Non"/>
    <s v="ADH-715305"/>
    <s v="Adhérent·e"/>
    <s v="Avec VIRGINIE WITTMER"/>
    <s v="WITTMER"/>
    <s v="VIRGINIE"/>
    <s v="virgew@hotmail.com"/>
    <m/>
    <s v="06 72 66 18 25"/>
    <s v="FONFRIA"/>
    <s v="MATHIEU"/>
    <s v="fuentefriamateo@gmail.com"/>
    <x v="3"/>
    <x v="12"/>
    <s v="GRAND EST"/>
  </r>
  <r>
    <s v="GAFFRIC"/>
    <s v="SIDONIE"/>
    <m/>
    <m/>
    <s v="F"/>
    <s v="m_debeve@yahoo.fr"/>
    <m/>
    <s v="06 84 11 23 03"/>
    <s v="17 rue Pierre Brossolette"/>
    <m/>
    <m/>
    <s v="10300"/>
    <s v="SAINTE SAVINE"/>
    <m/>
    <d v="2012-01-25T00:00:00"/>
    <n v="12"/>
    <s v="Troyes (10), France"/>
    <m/>
    <s v="Oui"/>
    <s v="ADH-706321"/>
    <s v="Adhérent·e"/>
    <s v="Avec GILLE ANNE CECILE BOUGEL MARC"/>
    <s v="DEBEVE"/>
    <s v="MARJOLAINE"/>
    <s v="m_debeve@yahoo.fr"/>
    <m/>
    <s v="06 84 11 23 03"/>
    <s v="GAFFRIC"/>
    <s v="ALBAN"/>
    <s v="albagaf@yahoo.fr"/>
    <x v="3"/>
    <x v="8"/>
    <s v="GRAND EST"/>
  </r>
  <r>
    <s v="GENAY COLLE"/>
    <s v="PHILEMON"/>
    <m/>
    <m/>
    <s v="M"/>
    <m/>
    <m/>
    <m/>
    <s v="135 RUE DU PETIT ARBOIS"/>
    <m/>
    <m/>
    <s v="54520"/>
    <s v="LAXOU"/>
    <m/>
    <d v="2011-09-17T00:00:00"/>
    <n v="12"/>
    <s v="Nancy (54), France"/>
    <m/>
    <s v="Oui"/>
    <s v="ADH-703859"/>
    <s v="Adhérent·e"/>
    <s v="Avec PHILIPPE GENAY"/>
    <s v="GENAY"/>
    <s v="PHILIPPE"/>
    <s v="philippe.genay@free.fr"/>
    <m/>
    <s v="06 68 06 22 82"/>
    <s v="COLLE"/>
    <s v="CAROLINE"/>
    <s v="caroline.colle@laposte.net"/>
    <x v="3"/>
    <x v="12"/>
    <s v="GRAND EST"/>
  </r>
  <r>
    <s v="GEOFFROY"/>
    <s v="GASTON"/>
    <m/>
    <m/>
    <s v="M"/>
    <s v="gastongeoffroy48@gmail.com"/>
    <s v="03 89 83 72 31"/>
    <s v="07 85 85 03 36"/>
    <s v="6 chemin du muchental"/>
    <m/>
    <m/>
    <s v="68530"/>
    <s v="Murbach"/>
    <s v="France"/>
    <d v="2008-01-11T00:00:00"/>
    <n v="16"/>
    <s v="Mulhouse (68), France"/>
    <m/>
    <s v="Oui"/>
    <s v="ADH-709015"/>
    <s v="Adhérent·e"/>
    <s v="Non"/>
    <s v="EINSARGUEIX"/>
    <s v="SANDRA"/>
    <s v="sandra.ein@gmail.com"/>
    <m/>
    <s v="06 14 81 25 48"/>
    <s v="GEOFFROY"/>
    <s v="JOHANN"/>
    <s v="johanngeoffroy@orange.fr"/>
    <x v="3"/>
    <x v="0"/>
    <s v="GRAND EST"/>
  </r>
  <r>
    <s v="GERVAIS"/>
    <s v="MAEL"/>
    <m/>
    <m/>
    <s v="M"/>
    <m/>
    <m/>
    <m/>
    <s v="38 rue Alphonse Daudet"/>
    <m/>
    <m/>
    <s v="57290"/>
    <s v="Fameck"/>
    <s v="France"/>
    <d v="2011-06-07T00:00:00"/>
    <n v="13"/>
    <s v="Thionville (57), France"/>
    <m/>
    <s v="Oui"/>
    <s v="ADH-717894"/>
    <s v="Adhérent·e"/>
    <s v="Avec CHRISTELLE /FREDERIC PALFROY / GERVAIS"/>
    <s v="PALFROY"/>
    <s v="CHRISTELLE"/>
    <s v="christellepalfroy@yahoo.fr"/>
    <m/>
    <s v="06 18 93 16 73"/>
    <s v="GERVAIS"/>
    <s v="FREDERIC"/>
    <s v="fredericgervais2004@yahoo.fr"/>
    <x v="3"/>
    <x v="11"/>
    <s v="GRAND EST"/>
  </r>
  <r>
    <s v="HAUSERMANN"/>
    <s v="ELISA"/>
    <m/>
    <m/>
    <s v="F"/>
    <m/>
    <m/>
    <m/>
    <s v="35 A rue Aristide Briand"/>
    <m/>
    <m/>
    <s v="54320"/>
    <s v="maxeville"/>
    <s v="France"/>
    <d v="2012-12-06T00:00:00"/>
    <n v="11"/>
    <s v="Nancy (54), France"/>
    <m/>
    <s v="Non"/>
    <s v="ADH-716740"/>
    <s v="Adhérent·e"/>
    <s v="Avec STEPHANIE FIATTE"/>
    <s v="FIATTE"/>
    <s v="STEPHANIE"/>
    <s v="s.fiatte@laposte.net"/>
    <m/>
    <s v="06 84 42 41 00"/>
    <m/>
    <m/>
    <m/>
    <x v="3"/>
    <x v="12"/>
    <s v="GRAND EST"/>
  </r>
  <r>
    <s v="HERMANN"/>
    <s v="ZELIE"/>
    <m/>
    <m/>
    <s v="F"/>
    <s v="sev.terrana@gmail.com"/>
    <m/>
    <s v="06 23 47 26 45"/>
    <s v="3 RUE NAPOLEON GOBERT"/>
    <m/>
    <m/>
    <s v="57070"/>
    <s v="METZ"/>
    <s v="France"/>
    <d v="2011-01-29T00:00:00"/>
    <n v="13"/>
    <s v="Metz (57), France"/>
    <m/>
    <s v="Oui"/>
    <s v="ADH-616655"/>
    <s v="Adhérent·e"/>
    <s v="Avec SEVERINE HERMANN"/>
    <s v="TERRANA"/>
    <s v="SEVERINE"/>
    <s v="sev.terrana@gmail.com"/>
    <m/>
    <s v="06 23 47 26 45"/>
    <s v="HERMANN"/>
    <s v="LAURENT"/>
    <m/>
    <x v="3"/>
    <x v="4"/>
    <s v="GRAND EST"/>
  </r>
  <r>
    <s v="HERQUÉ"/>
    <s v="JONAS"/>
    <m/>
    <m/>
    <s v="M"/>
    <s v="delphine.suard@laposte.net"/>
    <s v="03 72 36 22 71"/>
    <s v="07 83 62 55 79"/>
    <s v="8 IMPASSE DE LA PRAIRIE"/>
    <m/>
    <m/>
    <s v="57470"/>
    <s v="HOMBOURG HAUT"/>
    <s v="France"/>
    <d v="2009-05-30T00:00:00"/>
    <n v="15"/>
    <s v="Forbach (57), France"/>
    <m/>
    <s v="Oui"/>
    <s v="ADH-595829"/>
    <s v="Adhérent·e"/>
    <s v="Non"/>
    <s v="HERQUÉ"/>
    <s v="SÉBASTIEN"/>
    <s v="delphine.suard@laposte.net"/>
    <s v="03 72 36 22 71"/>
    <s v="07 83 62 55 79"/>
    <s v="SUARD"/>
    <s v="DELPHINE"/>
    <s v="delphine.suard@laposte.net"/>
    <x v="3"/>
    <x v="9"/>
    <s v="GRAND EST"/>
  </r>
  <r>
    <s v="HEWAK"/>
    <s v="VASSILI"/>
    <m/>
    <m/>
    <s v="M"/>
    <s v="Vassilihewak@yahoo.fr"/>
    <m/>
    <s v="06 51 08 55 76"/>
    <s v="9 RUE DES FOUTEAUX"/>
    <m/>
    <m/>
    <s v="51120"/>
    <s v="SEZANNE"/>
    <s v="France"/>
    <d v="2007-09-18T00:00:00"/>
    <n v="16"/>
    <s v="Reims (51), France"/>
    <m/>
    <s v="Oui"/>
    <s v="ADH-596135"/>
    <s v="Adhérent·e"/>
    <s v="Avec PARENTS PARENTS"/>
    <s v="HEWAK"/>
    <s v="SACHA"/>
    <s v="sachahewak@yahoo.fr"/>
    <m/>
    <s v="06 76 82 65 64"/>
    <s v="BEURIER"/>
    <s v="KAREN"/>
    <s v="beurierkaren@yahoo.fr"/>
    <x v="3"/>
    <x v="2"/>
    <s v="GRAND EST"/>
  </r>
  <r>
    <s v="HINDSLEY"/>
    <s v="CASSANDRA"/>
    <m/>
    <m/>
    <s v="F"/>
    <m/>
    <m/>
    <m/>
    <s v="62 rue Principale"/>
    <m/>
    <m/>
    <s v="90110"/>
    <s v="Saint Germain le Chatelet"/>
    <s v="France"/>
    <d v="2014-09-30T00:00:00"/>
    <n v="9"/>
    <s v="Belfort (90), France"/>
    <m/>
    <s v="Oui"/>
    <s v="ADH-615350"/>
    <s v="Adhérent·e"/>
    <s v="Non"/>
    <s v="HINDSLEY"/>
    <s v="BENJAMIN"/>
    <s v="benhindsley@hotmail.com"/>
    <m/>
    <s v="06 62 70 74 60"/>
    <s v="PEREIRA"/>
    <s v="EMMA"/>
    <m/>
    <x v="3"/>
    <x v="10"/>
    <s v="GRAND EST"/>
  </r>
  <r>
    <s v="HUIN"/>
    <s v="RAFAEL"/>
    <m/>
    <m/>
    <s v="M"/>
    <m/>
    <m/>
    <m/>
    <s v="9 rue de l avenir"/>
    <m/>
    <m/>
    <s v="68300"/>
    <s v="soultz"/>
    <s v="France"/>
    <d v="2014-04-12T00:00:00"/>
    <n v="10"/>
    <s v="Colmar (68), France"/>
    <m/>
    <s v="Non"/>
    <s v="ADH-715831"/>
    <s v="Adhérent·e"/>
    <s v="Seul·e"/>
    <s v="HUIN"/>
    <s v="CYRIL"/>
    <s v="cyril.huin@laposte.net"/>
    <m/>
    <s v="06 89 34 87 81"/>
    <s v="GAUDOT"/>
    <s v="PATRICIA"/>
    <s v="cyril.huin@laposte.net"/>
    <x v="3"/>
    <x v="0"/>
    <s v="GRAND EST"/>
  </r>
  <r>
    <s v="JACQUES"/>
    <s v="LOUIS"/>
    <m/>
    <m/>
    <s v="M"/>
    <s v="contact@giteenville.com"/>
    <m/>
    <s v="06 84 16 21 64"/>
    <s v="10 CHEMIN DES VIGNERONS"/>
    <m/>
    <m/>
    <s v="57000"/>
    <s v="METZ"/>
    <s v="France"/>
    <d v="2011-03-28T00:00:00"/>
    <n v="13"/>
    <s v="PARIS"/>
    <m/>
    <s v="Oui"/>
    <s v="ADH-599592"/>
    <s v="Adhérent·e"/>
    <s v="Non"/>
    <s v="JACQUES"/>
    <s v="MATHIEU"/>
    <s v="contact@giteenville.com"/>
    <m/>
    <s v="06 84 16 21 64"/>
    <s v="JACQUES"/>
    <s v="HELOISE"/>
    <s v="contact@giteenville.com"/>
    <x v="3"/>
    <x v="6"/>
    <s v="GRAND EST"/>
  </r>
  <r>
    <s v="KAUFFMANN"/>
    <s v="LIAN"/>
    <m/>
    <m/>
    <s v="M"/>
    <m/>
    <m/>
    <m/>
    <s v="31 rue Jean Jaurès"/>
    <m/>
    <m/>
    <s v="68360"/>
    <s v="Soultz"/>
    <m/>
    <d v="2013-12-18T00:00:00"/>
    <n v="10"/>
    <s v="Colmar (68), France"/>
    <m/>
    <s v="Non"/>
    <s v="ADH-715832"/>
    <s v="Adhérent·e"/>
    <s v="Non"/>
    <s v="BRUNNER"/>
    <s v="CHARLINE"/>
    <s v="charline.brunner@icloud.com"/>
    <m/>
    <s v="06 67 67 39 67"/>
    <s v="KAUFFMANN"/>
    <s v="JÉRÉMY"/>
    <s v="inconnu@gmail.com"/>
    <x v="3"/>
    <x v="0"/>
    <s v="GRAND EST"/>
  </r>
  <r>
    <s v="KOLBOWICZ"/>
    <s v="HUGO"/>
    <m/>
    <m/>
    <s v="M"/>
    <s v="nicolaskolbo@yahoo.fr"/>
    <m/>
    <s v="06 79 15 57 90"/>
    <s v="5 impasse des grands champs"/>
    <m/>
    <m/>
    <s v="10150"/>
    <s v="Feuges"/>
    <m/>
    <d v="2013-04-07T00:00:00"/>
    <n v="11"/>
    <s v="Troyes (10), France"/>
    <m/>
    <s v="Non"/>
    <s v="ADH-715929"/>
    <s v="Adhérent·e"/>
    <s v="Avec NICOLAS KOLBOWICZ"/>
    <s v="KOBOWICZ"/>
    <s v="NICOLAS"/>
    <s v="nicolaskolbo@yahoo.fr"/>
    <m/>
    <s v="06 79 15 57 90"/>
    <s v="MAGET"/>
    <s v="CECILE"/>
    <s v="cecile_mgt@yahoo.fr"/>
    <x v="3"/>
    <x v="2"/>
    <s v="GRAND EST"/>
  </r>
  <r>
    <s v="KRETZ CHAN"/>
    <s v="LOU"/>
    <m/>
    <m/>
    <s v="F"/>
    <m/>
    <m/>
    <m/>
    <s v="14 RUE DE BARR"/>
    <m/>
    <m/>
    <s v="67000"/>
    <s v="STRASBOURG"/>
    <m/>
    <d v="2013-03-11T00:00:00"/>
    <n v="11"/>
    <s v="Strasbourg (67), France"/>
    <m/>
    <s v="Oui"/>
    <s v="ADH-716450"/>
    <s v="Adhérent·e"/>
    <s v="Non"/>
    <s v="CHAN"/>
    <s v="CAMILLE"/>
    <s v="camillechan67@gmail.com"/>
    <m/>
    <s v="06 50 20 06 30"/>
    <s v="KRETZ"/>
    <s v="MARTIN"/>
    <s v="camillechan@gmail.com"/>
    <x v="3"/>
    <x v="1"/>
    <s v="GRAND EST"/>
  </r>
  <r>
    <s v="LALLEMAND CHEKATI"/>
    <s v="LÉNA"/>
    <m/>
    <m/>
    <s v="F"/>
    <s v="plal57@free.fr"/>
    <s v="07 83 33 35 05"/>
    <m/>
    <s v="4 rue Mozart"/>
    <m/>
    <m/>
    <s v="57000"/>
    <s v="Metz"/>
    <s v="France"/>
    <d v="2009-06-15T00:00:00"/>
    <n v="15"/>
    <s v="Metz (57), France"/>
    <m/>
    <s v="Oui"/>
    <s v="ADH-702872"/>
    <s v="Adhérent·e"/>
    <s v="Non"/>
    <s v="CHEKATI"/>
    <s v="LILA"/>
    <s v="chekati@hotmail.com"/>
    <s v="06 75 60 01 53"/>
    <m/>
    <s v="LALLEMAND"/>
    <s v="PHILIPPE"/>
    <s v="plal57@free.fr"/>
    <x v="3"/>
    <x v="6"/>
    <s v="GRAND EST"/>
  </r>
  <r>
    <s v="LE NAVIEL"/>
    <s v="NIELS"/>
    <m/>
    <m/>
    <s v="M"/>
    <m/>
    <m/>
    <m/>
    <s v="36 All. de la Robertsau"/>
    <m/>
    <m/>
    <s v="67000"/>
    <s v="Strasbourg"/>
    <s v="France"/>
    <d v="2009-01-25T00:00:00"/>
    <n v="15"/>
    <s v="Lorient (56), France"/>
    <m/>
    <s v="Oui"/>
    <s v="ADH-615752"/>
    <s v="Adhérent·e"/>
    <s v="Seul·e"/>
    <s v="MENER"/>
    <s v="LAURENCE"/>
    <s v="lmener@yahoo.fr"/>
    <m/>
    <s v="06 30 97 68 57"/>
    <s v="LE NAVIEL"/>
    <s v="GURVAN"/>
    <s v="gurvanlenaviel@yahoo.fr"/>
    <x v="3"/>
    <x v="1"/>
    <s v="GRAND EST"/>
  </r>
  <r>
    <s v="MANCIOT"/>
    <s v="ATHÉNAÏS"/>
    <m/>
    <m/>
    <s v="F"/>
    <m/>
    <m/>
    <m/>
    <s v="4 Rue de la Bonde"/>
    <m/>
    <m/>
    <s v="67300"/>
    <s v="Schiltigheim"/>
    <s v="France"/>
    <d v="2013-02-21T00:00:00"/>
    <n v="11"/>
    <s v="Schiltigheim (67), France"/>
    <m/>
    <s v="Oui"/>
    <s v="ADH-616047"/>
    <s v="Adhérent·e"/>
    <s v="Avec EMMANUEL FAUST"/>
    <s v="MANCIOT"/>
    <s v="FRÉDÉRIC"/>
    <s v="fredmanciot@yahoo.com"/>
    <s v="09 50 55 51 23"/>
    <s v="06 28 05 15 11"/>
    <s v="MANCIOT"/>
    <s v="FABIENNE"/>
    <s v="fab_burgun@yahoo.fr"/>
    <x v="3"/>
    <x v="1"/>
    <s v="GRAND EST"/>
  </r>
  <r>
    <s v="MENGER"/>
    <s v="THEO"/>
    <m/>
    <m/>
    <s v="M"/>
    <m/>
    <s v="03 87 87 96 01"/>
    <s v="07 85 69 58 03"/>
    <s v="100 RUE DU CHATEAU D'EAU"/>
    <m/>
    <m/>
    <s v="57450"/>
    <s v="BARST"/>
    <s v="France"/>
    <d v="2010-11-29T00:00:00"/>
    <n v="13"/>
    <s v="Saint-Avold (57), France"/>
    <m/>
    <s v="Oui"/>
    <s v="ADH-594736"/>
    <s v="Adhérent·e"/>
    <s v="Avec MENGER MELIE"/>
    <s v="MENGER"/>
    <s v="REGIS"/>
    <s v="mengerregis@gmail.com"/>
    <s v="06 02 62 28 55"/>
    <m/>
    <s v="MENGER"/>
    <s v="VALERIE"/>
    <s v="valeriewack@yahoo.fr"/>
    <x v="3"/>
    <x v="9"/>
    <s v="GRAND EST"/>
  </r>
  <r>
    <s v="METIER"/>
    <s v="ARTHUR"/>
    <m/>
    <m/>
    <s v="M"/>
    <s v="virginiemetier@gmail.com"/>
    <m/>
    <s v="06 85 70 93 74"/>
    <s v="24 rue de Verdun"/>
    <m/>
    <m/>
    <s v="10800"/>
    <s v="Saint Julien les villas"/>
    <m/>
    <d v="2011-08-26T00:00:00"/>
    <n v="13"/>
    <s v="Troyes (10), France"/>
    <m/>
    <s v="Oui"/>
    <s v="ADH-712175"/>
    <s v="Adhérent·e"/>
    <s v="Seul·e"/>
    <s v="METIER"/>
    <s v="JEAN MICHEL"/>
    <s v="nomail@gmail.com"/>
    <m/>
    <s v="06 85 75 61 61"/>
    <s v="METIER"/>
    <s v="VIRGINIE"/>
    <s v="virginemetier@gmail.com"/>
    <x v="3"/>
    <x v="2"/>
    <s v="GRAND EST"/>
  </r>
  <r>
    <s v="MICLO"/>
    <s v="MARTIN"/>
    <m/>
    <m/>
    <s v="M"/>
    <s v="agnesjouteux@orange.fr"/>
    <s v="06 69 75 55 93"/>
    <m/>
    <s v="9 CHEMIN DE RONDE"/>
    <m/>
    <m/>
    <s v="57910"/>
    <s v="HAMBACH"/>
    <s v="France"/>
    <d v="2008-03-14T00:00:00"/>
    <n v="16"/>
    <s v="Sarreguemines (57), France"/>
    <m/>
    <s v="Oui"/>
    <s v="ADH-612877"/>
    <s v="Adhérent·e"/>
    <s v="Avec MARTINE GANGLOFF"/>
    <s v="MICLO"/>
    <s v="SYLVAIN"/>
    <s v="sylvain.miclo@numericable.fr"/>
    <s v="03 87 26 37 64"/>
    <m/>
    <s v="JOUTEUX"/>
    <s v="AGNÈS"/>
    <s v="agnesjouteux@orange.fr"/>
    <x v="3"/>
    <x v="9"/>
    <s v="GRAND EST"/>
  </r>
  <r>
    <s v="OULDJI"/>
    <s v="ULYSSE"/>
    <m/>
    <m/>
    <s v="M"/>
    <m/>
    <m/>
    <m/>
    <s v="8 rue de Wissersbourg"/>
    <m/>
    <m/>
    <s v="67000"/>
    <s v="Strasbourg"/>
    <s v="France"/>
    <d v="2013-09-04T00:00:00"/>
    <n v="10"/>
    <s v="13000"/>
    <m/>
    <s v="Oui"/>
    <s v="ADH-715591"/>
    <s v="Adhérent·e"/>
    <s v="Avec SORAYA OUDJI"/>
    <s v="OULDJI"/>
    <s v="SORAYA"/>
    <s v="sorayadji@gmail.com"/>
    <m/>
    <s v="06 61 89 32 81"/>
    <m/>
    <m/>
    <m/>
    <x v="3"/>
    <x v="1"/>
    <s v="GRAND EST"/>
  </r>
  <r>
    <s v="PAGES"/>
    <s v="NICOLAS"/>
    <m/>
    <m/>
    <s v="M"/>
    <s v="pages.nico@outlook.com"/>
    <m/>
    <s v="06 65 03 50 83"/>
    <s v="28 rue Fulrad"/>
    <m/>
    <m/>
    <s v="57200"/>
    <s v="Sarreguemines"/>
    <m/>
    <d v="2009-02-10T00:00:00"/>
    <n v="15"/>
    <m/>
    <m/>
    <s v="Oui"/>
    <s v="ADH-700896"/>
    <s v="Adhérent·e"/>
    <s v="Non"/>
    <s v="MARIETTE"/>
    <s v="LAURENCE"/>
    <s v="lauranemarie@hotmail.fr"/>
    <m/>
    <s v="06 83 55 30 85"/>
    <s v="PAGES"/>
    <s v="FRÉDÉRIC"/>
    <s v="fredpages@hotmail.com"/>
    <x v="3"/>
    <x v="9"/>
    <s v="GRAND EST"/>
  </r>
  <r>
    <s v="PARISOT"/>
    <s v="TESS"/>
    <m/>
    <m/>
    <s v="F"/>
    <s v="tess.parisot@sfr.fr"/>
    <m/>
    <s v="06 86 05 00 65"/>
    <s v="32C RUE DE LA GARE"/>
    <m/>
    <m/>
    <s v="57155"/>
    <s v="MARLY"/>
    <s v="France"/>
    <d v="2007-06-19T00:00:00"/>
    <n v="17"/>
    <s v="Metz (57), France"/>
    <m/>
    <s v="Oui"/>
    <s v="ADH-606960"/>
    <s v="Adhérent·e"/>
    <s v="Non"/>
    <s v="PARISOT"/>
    <s v="OLIVIER"/>
    <s v="olivier.parisot@grandest.fr"/>
    <m/>
    <s v="06 81 89 73 22"/>
    <s v="LEGALL"/>
    <s v="GAELLE"/>
    <s v="legall.gaelle@wanadoo.fr"/>
    <x v="3"/>
    <x v="5"/>
    <s v="GRAND EST"/>
  </r>
  <r>
    <s v="PUJOS"/>
    <s v="NELLY"/>
    <m/>
    <m/>
    <s v="F"/>
    <s v="pujos.nelly@gmail.com"/>
    <m/>
    <s v="06 52 06 98 61"/>
    <s v="33 RUE DE LA MARNE"/>
    <m/>
    <m/>
    <s v="57300"/>
    <s v="HAGONDANGE"/>
    <s v="France"/>
    <d v="2008-11-04T00:00:00"/>
    <n v="15"/>
    <s v="Sélestat (67), France"/>
    <m/>
    <s v="Oui"/>
    <s v="ADH-601316"/>
    <s v="Adhérent·e"/>
    <s v="Avec DANILA RISTOCK"/>
    <s v="PUJOS"/>
    <s v="ANTOINE"/>
    <s v="antoine.pujos@gmail.com"/>
    <m/>
    <s v="07 89 90 84 46"/>
    <s v="PUJOS"/>
    <s v="LAURE"/>
    <s v="laure.pujos@gmail.com"/>
    <x v="3"/>
    <x v="5"/>
    <s v="GRAND EST"/>
  </r>
  <r>
    <s v="REISCH"/>
    <s v="LEANO"/>
    <m/>
    <m/>
    <s v="M"/>
    <m/>
    <m/>
    <s v="07 50 07 52 28"/>
    <s v="11 rue Gambetta"/>
    <m/>
    <m/>
    <s v="68000"/>
    <s v="Colmar"/>
    <s v="France"/>
    <d v="2014-10-04T00:00:00"/>
    <n v="9"/>
    <s v="Colmar (68), France"/>
    <m/>
    <s v="Oui"/>
    <s v="ADH-705865"/>
    <s v="Adhérent·e"/>
    <s v="Avec SEBASTIEN / STAPHANIE HAMMES / FOEHRLE"/>
    <s v="REISCH"/>
    <s v="ANDREAS"/>
    <s v="dieaen@gmail.com"/>
    <m/>
    <s v="07 50 07 52 28"/>
    <s v="BRULEZ"/>
    <s v="FANNY"/>
    <s v="fanny.brulez@hotmail.fr"/>
    <x v="3"/>
    <x v="1"/>
    <s v="GRAND EST"/>
  </r>
  <r>
    <s v="ROBERT"/>
    <s v="ANTOINE"/>
    <m/>
    <m/>
    <s v="M"/>
    <s v="antoine.robert57@hotmail.com"/>
    <m/>
    <s v="06 11 41 66 56"/>
    <s v="69 RUE DE LA CHENEAU"/>
    <m/>
    <m/>
    <s v="57000"/>
    <s v="METZ"/>
    <s v="France"/>
    <d v="2011-10-21T00:00:00"/>
    <n v="12"/>
    <s v="Metz (57), France"/>
    <m/>
    <s v="Oui"/>
    <s v="ADH-605910"/>
    <s v="Adhérent·e"/>
    <s v="Seul·e"/>
    <s v="ROBERT"/>
    <s v="CATHERINE"/>
    <s v="catherine_cavion@hotmail.com"/>
    <m/>
    <s v="06 14 66 83 29"/>
    <m/>
    <m/>
    <m/>
    <x v="3"/>
    <x v="6"/>
    <s v="GRAND EST"/>
  </r>
  <r>
    <s v="ROBIN"/>
    <s v="JOSHUA"/>
    <m/>
    <m/>
    <s v="M"/>
    <m/>
    <m/>
    <m/>
    <s v="1 IMPASSE DES PERVENCHES"/>
    <m/>
    <m/>
    <s v="68440"/>
    <s v="DIETWILLER"/>
    <m/>
    <d v="2013-12-13T00:00:00"/>
    <n v="10"/>
    <s v="Mulhouse (68), France"/>
    <m/>
    <s v="Oui"/>
    <s v="ADH-715043"/>
    <s v="Adhérent·e"/>
    <s v="Avec NATHALIE ROBIN"/>
    <s v="ROBIN"/>
    <s v="NATHALIE"/>
    <s v="obermeyer.nathalie@hotmail.fr"/>
    <s v="03 89 38 71 08"/>
    <s v="06 31 31 70 18"/>
    <s v="ROBIN"/>
    <s v="PATRICK"/>
    <s v="patrick-g.robin@orange.fr"/>
    <x v="3"/>
    <x v="10"/>
    <s v="GRAND EST"/>
  </r>
  <r>
    <s v="SALVATORE"/>
    <s v="HUGO"/>
    <m/>
    <m/>
    <s v="M"/>
    <m/>
    <m/>
    <m/>
    <s v="111 rue de Tivoli"/>
    <m/>
    <m/>
    <s v="57070"/>
    <s v="Metz"/>
    <m/>
    <d v="2016-03-09T00:00:00"/>
    <n v="8"/>
    <s v="Peltre (57), France"/>
    <m/>
    <s v="Oui"/>
    <s v="ADH-714936"/>
    <s v="Adhérent·e"/>
    <s v="Non"/>
    <s v="GARELLI"/>
    <s v="JULIE"/>
    <s v="juliegarelli@gmail.com"/>
    <m/>
    <s v="06 26 61 58 80"/>
    <s v="SALVATORE"/>
    <s v="DAVID"/>
    <s v="salvatore.david0@gmail.com"/>
    <x v="3"/>
    <x v="6"/>
    <s v="GRAND EST"/>
  </r>
  <r>
    <s v="SANNA"/>
    <s v="ANTOINE"/>
    <m/>
    <m/>
    <s v="M"/>
    <m/>
    <m/>
    <m/>
    <s v="23 rue de metz"/>
    <m/>
    <m/>
    <s v="54000"/>
    <s v="nancy"/>
    <m/>
    <d v="2015-04-19T00:00:00"/>
    <n v="9"/>
    <m/>
    <m/>
    <s v="Non"/>
    <s v="ADH-708816"/>
    <s v="Adhérent·e"/>
    <s v="Avec ALEXANDRE SANNA"/>
    <s v="SANNA"/>
    <s v="ALEXANDRE"/>
    <s v="myralex.alexiam@gmail.com"/>
    <m/>
    <s v="06 86 01 13 82"/>
    <s v="RENAUDOT"/>
    <s v="MYRIAM"/>
    <s v="mrenaudot@yahoo.fr"/>
    <x v="3"/>
    <x v="12"/>
    <s v="GRAND EST"/>
  </r>
  <r>
    <s v="SCHNEIDER"/>
    <s v="LUCIEN"/>
    <m/>
    <m/>
    <s v="M"/>
    <m/>
    <m/>
    <m/>
    <s v="10, RUE GREGOIRE DE TOURS"/>
    <m/>
    <m/>
    <s v="57000"/>
    <s v="METZ"/>
    <s v="France"/>
    <d v="2009-02-02T00:00:00"/>
    <n v="15"/>
    <s v="Troyes (10), France"/>
    <m/>
    <s v="Oui"/>
    <s v="ADH-703542"/>
    <s v="Adhérent·e"/>
    <s v="Avec LUDOVIC COUSIN"/>
    <s v="LEOPOLD"/>
    <s v="ESTELLE"/>
    <s v="estelleleopold@hotmail.com"/>
    <s v="03 54 44 50 62"/>
    <s v="06 45 80 12 63"/>
    <s v="SCHNEIDER"/>
    <s v="MARC"/>
    <s v="schneider.marc@neuf.fr"/>
    <x v="3"/>
    <x v="5"/>
    <s v="GRAND EST"/>
  </r>
  <r>
    <s v="SCHNEIDER-AUZELOUX"/>
    <s v="AUBIN"/>
    <m/>
    <m/>
    <s v="M"/>
    <s v="aubinschneider70@gmail.com"/>
    <m/>
    <s v="07 68 57 89 06"/>
    <s v="18 rue Bellevue"/>
    <m/>
    <m/>
    <s v="68360"/>
    <s v="Soultz"/>
    <s v="France"/>
    <d v="2011-11-22T00:00:00"/>
    <n v="12"/>
    <s v="Colmar (68), France"/>
    <m/>
    <s v="Non"/>
    <s v="ADH-715838"/>
    <s v="Adhérent·e"/>
    <s v="Seul·e"/>
    <s v="AUZELOUX"/>
    <s v="PAULINE"/>
    <s v="pauline.auzeloux@yahoo.com"/>
    <m/>
    <s v="06 64 13 82 11"/>
    <s v="SCHNEIDER"/>
    <s v="GUILLAUME"/>
    <s v="guisouals@yahoo.com"/>
    <x v="3"/>
    <x v="0"/>
    <s v="GRAND EST"/>
  </r>
  <r>
    <s v="SEICHEPINE"/>
    <s v="LOUIS"/>
    <m/>
    <m/>
    <s v="M"/>
    <s v="mathieu.seichepine@gmail.com"/>
    <s v="06 15 93 79 43"/>
    <s v="06 24 30 35 23"/>
    <s v="24 Grand'rue"/>
    <s v="24"/>
    <m/>
    <s v="57140"/>
    <s v="Norroy-Le-Veneur"/>
    <s v="France"/>
    <d v="2012-03-25T00:00:00"/>
    <n v="12"/>
    <s v="Norroy-le-Veneur (57), France"/>
    <m/>
    <s v="Oui"/>
    <s v="ADH-717050"/>
    <s v="Adhérent·e"/>
    <s v="Avec MATHIEU ET ANDRÉA SEICHEPINE"/>
    <s v="SEICHEPINE"/>
    <s v="MATHIEU"/>
    <s v="mathieu.seichepine@gmail.com"/>
    <s v="06 15 93 79 43"/>
    <m/>
    <s v="SEICHEPINE"/>
    <s v="ANDRÉA"/>
    <s v="andrea.seichepine@gmail.com"/>
    <x v="3"/>
    <x v="11"/>
    <s v="GRAND EST"/>
  </r>
  <r>
    <s v="SINDT"/>
    <s v="AMAURY"/>
    <m/>
    <m/>
    <s v="M"/>
    <s v="sindtjr@hotmail.com"/>
    <m/>
    <s v="06 03 16 15 40"/>
    <s v="7, RUE JOSEPH RITTER"/>
    <m/>
    <m/>
    <s v="57600"/>
    <s v="FORBACH"/>
    <m/>
    <d v="2013-05-24T00:00:00"/>
    <n v="11"/>
    <s v="Forbach (57), France"/>
    <m/>
    <s v="Oui"/>
    <s v="ADH-609141"/>
    <s v="Adhérent·e"/>
    <s v="Non"/>
    <s v="SINDT"/>
    <s v="JEAN-RAPHAEL"/>
    <s v="sindtjr@hotmail.com"/>
    <m/>
    <s v="06 03 16 15 40"/>
    <s v="SINDT-FOLLINI"/>
    <s v="ARMELLE"/>
    <s v="armelle.sindt@gmail.com"/>
    <x v="3"/>
    <x v="9"/>
    <s v="GRAND EST"/>
  </r>
  <r>
    <s v="TOURNOUX"/>
    <s v="HYPPOLITE"/>
    <m/>
    <m/>
    <s v="M"/>
    <m/>
    <m/>
    <m/>
    <s v="3 rue d'Andlau"/>
    <m/>
    <m/>
    <s v="67300"/>
    <s v="Schiltigheim"/>
    <m/>
    <d v="2009-10-19T00:00:00"/>
    <n v="14"/>
    <m/>
    <m/>
    <s v="Oui"/>
    <s v="ADH-717340"/>
    <s v="Adhérent·e"/>
    <s v="Non"/>
    <s v="SCHNEIDER"/>
    <s v="STÉPHANIE"/>
    <s v="janetweiss@free.fr"/>
    <m/>
    <s v="06 08 75 13 99"/>
    <s v="TOURNOUX"/>
    <s v="JEAN-FRANCOIS"/>
    <s v="jft@tisseur-de-toile.fr"/>
    <x v="3"/>
    <x v="1"/>
    <s v="GRAND EST"/>
  </r>
  <r>
    <s v="TOURY"/>
    <s v="ARTHUR"/>
    <m/>
    <m/>
    <s v="M"/>
    <s v="arthur.toury@gmail.com"/>
    <s v="03 25 45 11 72"/>
    <s v="07 66 07 72 75"/>
    <s v="12 RUE DU CHARMAT"/>
    <m/>
    <m/>
    <s v="10190"/>
    <s v="PRUGNY"/>
    <s v="France"/>
    <d v="2006-07-13T00:00:00"/>
    <n v="18"/>
    <s v="Cachan (94), France"/>
    <m/>
    <s v="Non"/>
    <s v="ADH-605769"/>
    <s v="Adhérent·e"/>
    <s v="Seul·e"/>
    <s v="TOURY"/>
    <s v="TIMOTHEE"/>
    <s v="tourytim@gmail.com"/>
    <s v="03 25 45 11 72"/>
    <s v="06 87 63 32 32"/>
    <s v="TOURY"/>
    <s v="AURELIE"/>
    <s v="touryaurelie@gmail.com"/>
    <x v="3"/>
    <x v="7"/>
    <s v="GRAND EST"/>
  </r>
  <r>
    <s v="VOOS DESGEORGE"/>
    <s v="SOREN"/>
    <m/>
    <m/>
    <s v="M"/>
    <m/>
    <m/>
    <m/>
    <s v="16 rue du Général RAPP"/>
    <m/>
    <m/>
    <s v="67000"/>
    <s v="Strasbourg"/>
    <s v="France"/>
    <d v="2016-08-05T00:00:00"/>
    <n v="8"/>
    <s v="Strasbourg (67), France"/>
    <m/>
    <s v="Oui"/>
    <s v="ADH-715595"/>
    <s v="Adhérent·e"/>
    <s v="Avec CAROLINE DESGEORGES"/>
    <s v="VOOS"/>
    <s v="ALEXANDRE"/>
    <s v="voos.design@gmail.com"/>
    <m/>
    <s v="06 62 71 28 01"/>
    <s v="DESGEORGE"/>
    <s v="SOPHIE"/>
    <s v="seipho@hotmail.fr"/>
    <x v="3"/>
    <x v="1"/>
    <s v="GRAND EST"/>
  </r>
  <r>
    <s v="WALTER-HALBWAX"/>
    <s v="JULIETTE"/>
    <m/>
    <m/>
    <s v="F"/>
    <m/>
    <m/>
    <m/>
    <s v="23 Rue du Chêne"/>
    <m/>
    <m/>
    <s v="67100"/>
    <s v="Strasbourg"/>
    <s v="France"/>
    <d v="2014-03-05T00:00:00"/>
    <n v="10"/>
    <s v="Strasbourg (67), France"/>
    <m/>
    <s v="Oui"/>
    <s v="ADH-705526"/>
    <s v="Adhérent·e"/>
    <s v="Non"/>
    <s v="WALTER"/>
    <s v="BENOIT"/>
    <s v="walter0benoit@yahoo.fr"/>
    <m/>
    <s v="06 09 55 88 63"/>
    <s v="HALBWAX"/>
    <s v="JOANNE"/>
    <s v="joanne.halbwax@yahoo.fr"/>
    <x v="3"/>
    <x v="1"/>
    <s v="GRAND EST"/>
  </r>
  <r>
    <s v="COTTEL"/>
    <s v="ELIAS"/>
    <m/>
    <m/>
    <s v="M"/>
    <s v="mathieu.cottel@gmail.com"/>
    <m/>
    <s v="06 68 67 92 93"/>
    <s v="12 rue Notre Dame de la Salette"/>
    <m/>
    <m/>
    <s v="57070"/>
    <s v="VANY"/>
    <s v="France"/>
    <d v="2011-12-09T00:00:00"/>
    <n v="12"/>
    <s v="Metz (57), France"/>
    <m/>
    <s v="Oui"/>
    <s v="ADH-716943"/>
    <s v="Adhérent·e"/>
    <s v="Avec MATHIEU COTTEL"/>
    <s v="COTTEL"/>
    <s v="MATHIEU"/>
    <s v="mathieu.cottel@gmail.com"/>
    <m/>
    <s v="06 16 89 13 99"/>
    <s v="DELIN"/>
    <s v="FABIENNE"/>
    <m/>
    <x v="4"/>
    <x v="4"/>
    <s v="GRAND EST"/>
  </r>
  <r>
    <s v="DEVAUX"/>
    <s v="AXEL"/>
    <m/>
    <m/>
    <s v="M"/>
    <m/>
    <m/>
    <m/>
    <s v="16 CHEMIN DE LA BUTTE"/>
    <m/>
    <m/>
    <s v="57000"/>
    <s v="METZ"/>
    <s v="France"/>
    <d v="2012-01-15T00:00:00"/>
    <n v="12"/>
    <s v="Metz (57), France"/>
    <m/>
    <s v="Oui"/>
    <s v="ADH-612715"/>
    <s v="Adhérent·e"/>
    <s v="Non"/>
    <s v="DEVAUX"/>
    <s v="MICHEL"/>
    <s v="michel-aude@hotmail.fr"/>
    <m/>
    <s v="06 15 44 80 46"/>
    <m/>
    <m/>
    <m/>
    <x v="4"/>
    <x v="5"/>
    <s v="GRAND EST"/>
  </r>
  <r>
    <s v="GISSAT"/>
    <s v="ADAM"/>
    <m/>
    <m/>
    <s v="M"/>
    <s v="celine.gissat@gmail.com"/>
    <m/>
    <s v="06 01 19 93 17"/>
    <s v="196 rue de la coopérative"/>
    <m/>
    <m/>
    <s v="10800"/>
    <s v="Saint Julien les villas"/>
    <m/>
    <d v="2017-09-01T00:00:00"/>
    <n v="6"/>
    <s v="Trévenans (90), France"/>
    <m/>
    <s v="Non"/>
    <s v="ADH-715949"/>
    <s v="Adhérent·e"/>
    <s v="Avec PARENTS PARENTS"/>
    <s v="GISSAT"/>
    <s v="CÉLINE"/>
    <s v="celine.gissat@gmail.com"/>
    <m/>
    <s v="06 01 19 93 17"/>
    <s v="GISSAT"/>
    <s v="GEOFFREY"/>
    <s v="geoffrey.gissat@gmail.com"/>
    <x v="4"/>
    <x v="2"/>
    <s v="GRAND EST"/>
  </r>
  <r>
    <s v="JACQUEMIN"/>
    <s v="BAPTISTE"/>
    <m/>
    <m/>
    <s v="M"/>
    <m/>
    <m/>
    <m/>
    <s v="15 allée des maraichers"/>
    <m/>
    <m/>
    <s v="54000"/>
    <s v="NANCY"/>
    <m/>
    <d v="2012-09-30T00:00:00"/>
    <n v="11"/>
    <s v="Nancy (54), France"/>
    <m/>
    <s v="Oui"/>
    <s v="ADH-704507"/>
    <s v="Adhérent·e"/>
    <s v="Seul·e"/>
    <s v="JACQUEMIN"/>
    <s v="JULIEN"/>
    <s v="julien.jacquemin54@gmail.com"/>
    <s v="06 78 98 69 71"/>
    <s v="06 78 98 69 71"/>
    <s v="COLLIN"/>
    <s v="FANNY"/>
    <s v="fannycollin535@hotmail.com"/>
    <x v="4"/>
    <x v="12"/>
    <s v="GRAND EST"/>
  </r>
  <r>
    <s v="LATOUCHE"/>
    <s v="ACHILLE"/>
    <m/>
    <m/>
    <s v="M"/>
    <m/>
    <m/>
    <m/>
    <s v="12 rue Lamoricière"/>
    <m/>
    <m/>
    <s v="10300"/>
    <s v="Sainte Savine"/>
    <m/>
    <d v="2012-01-30T00:00:00"/>
    <n v="12"/>
    <s v="Troyes (10), France"/>
    <m/>
    <s v="Non"/>
    <s v="ADH-715851"/>
    <s v="Adhérent·e"/>
    <s v="Seul·e"/>
    <s v="LATOUCHE"/>
    <s v="SOPHIE"/>
    <s v="sosolatouche@gmail.com"/>
    <m/>
    <s v="06 20 76 27 71"/>
    <s v="LATOUCHE"/>
    <s v="BENJAMIN"/>
    <s v="benjlat@sfr.fr"/>
    <x v="4"/>
    <x v="8"/>
    <s v="GRAND EST"/>
  </r>
  <r>
    <s v="LE NAOUR"/>
    <s v="DAPHNÉ"/>
    <m/>
    <m/>
    <s v="F"/>
    <s v="f.burgard@gmail.com"/>
    <m/>
    <s v="06 72 41 75 81"/>
    <s v="70 avenue de Nieppe"/>
    <m/>
    <m/>
    <s v="57970"/>
    <s v="Bass-Ham"/>
    <s v="France"/>
    <d v="2012-04-24T00:00:00"/>
    <n v="12"/>
    <s v="Thionville (57), France"/>
    <m/>
    <s v="Oui"/>
    <s v="ADH-611553"/>
    <s v="Adhérent·e"/>
    <s v="Non"/>
    <s v="LE NAOUR"/>
    <s v="KARL"/>
    <s v="klnbzh@gmail.com"/>
    <s v="09 52 05 88 72"/>
    <s v="06 80 26 34 00"/>
    <s v="BURGARD"/>
    <s v="FLORE"/>
    <s v="f.burgard@gmail.com"/>
    <x v="4"/>
    <x v="11"/>
    <s v="GRAND EST"/>
  </r>
  <r>
    <s v="ROVARIS"/>
    <s v="CLEMENT"/>
    <m/>
    <m/>
    <s v="M"/>
    <m/>
    <m/>
    <m/>
    <s v="36 RUE DE LA GENTIERE"/>
    <m/>
    <m/>
    <s v="57140"/>
    <s v="SAULNY"/>
    <s v="France"/>
    <d v="2013-10-03T00:00:00"/>
    <n v="10"/>
    <s v="Peltre (57), France"/>
    <m/>
    <s v="Oui"/>
    <s v="ADH-716641"/>
    <s v="Adhérent·e"/>
    <s v="Non"/>
    <s v="ROVARIS"/>
    <s v="JEREMY"/>
    <s v="jeremy.rovaris@orange.fr"/>
    <m/>
    <s v="06 86 97 45 63"/>
    <s v="MATHIEU"/>
    <s v="STEPHANIE"/>
    <s v="stephanie.mathieu79@gmail.com"/>
    <x v="4"/>
    <x v="5"/>
    <s v="GRAND EST"/>
  </r>
  <r>
    <s v="WAHL"/>
    <s v="JADE"/>
    <m/>
    <m/>
    <s v="F"/>
    <s v="nathalie-wahl-danon@orange.fr"/>
    <m/>
    <m/>
    <s v="8 RUE DES JARDINS"/>
    <m/>
    <m/>
    <s v="57000"/>
    <s v="METZ"/>
    <m/>
    <d v="2008-09-20T00:00:00"/>
    <n v="15"/>
    <s v="Metz (57), France"/>
    <m/>
    <s v="Oui"/>
    <s v="ADH-580662"/>
    <s v="Adhérent·e"/>
    <s v="Seul·e"/>
    <s v="WAHL"/>
    <s v="VINCENT"/>
    <s v="vincent-wahl@orange.fr"/>
    <m/>
    <s v="07 87 91 50 05"/>
    <m/>
    <m/>
    <m/>
    <x v="4"/>
    <x v="5"/>
    <s v="GRAND EST"/>
  </r>
  <r>
    <s v="ABOUT"/>
    <s v="MELYNDA"/>
    <s v="MEBARKI"/>
    <m/>
    <s v="F"/>
    <s v="joellenavarro@yahoo.fr"/>
    <m/>
    <m/>
    <s v="44 rue principale"/>
    <m/>
    <m/>
    <s v="57340"/>
    <s v="Dalhain"/>
    <s v="France"/>
    <d v="2014-03-14T00:00:00"/>
    <n v="10"/>
    <s v="Thionville (57), France"/>
    <m/>
    <s v="Oui"/>
    <s v="ADH-614212"/>
    <s v="Adhérent·e"/>
    <s v="Non"/>
    <s v="NAVARRO"/>
    <s v="JOELLE"/>
    <s v="joellenavarro@yahoo.fr"/>
    <m/>
    <m/>
    <m/>
    <m/>
    <m/>
    <x v="5"/>
    <x v="9"/>
    <s v="GRAND EST"/>
  </r>
  <r>
    <s v="AMMERICH"/>
    <s v="LOLA"/>
    <m/>
    <m/>
    <s v="F"/>
    <m/>
    <m/>
    <m/>
    <s v="2 rue Baldeug Grien"/>
    <m/>
    <m/>
    <s v="67000"/>
    <s v="strasbourg"/>
    <s v="France"/>
    <d v="2015-03-10T00:00:00"/>
    <n v="9"/>
    <s v="Strasbourg (67), France"/>
    <m/>
    <s v="Oui"/>
    <s v="ADH-715596"/>
    <s v="Adhérent·e"/>
    <s v="Avec EMMANUEL NOEL"/>
    <s v="NOËL"/>
    <s v="OLIVIA"/>
    <s v="olivianoel84@gmail.com"/>
    <m/>
    <s v="06 60 03 20 79"/>
    <s v="AMMERICH"/>
    <s v="LAURENT"/>
    <s v="laurent.ammerich@gmail.com"/>
    <x v="5"/>
    <x v="1"/>
    <s v="GRAND EST"/>
  </r>
  <r>
    <s v="BARADEL"/>
    <s v="EMMA"/>
    <m/>
    <m/>
    <s v="F"/>
    <m/>
    <m/>
    <m/>
    <s v="13 vallon d'olima"/>
    <m/>
    <m/>
    <s v="88000"/>
    <s v="chantraine"/>
    <m/>
    <d v="2012-03-24T00:00:00"/>
    <n v="12"/>
    <s v="Épinal (88), France"/>
    <m/>
    <s v="Oui"/>
    <s v="ADH-713183"/>
    <s v="Adhérent·e"/>
    <s v="Non"/>
    <s v="BARADEL"/>
    <s v="EMILIE"/>
    <m/>
    <m/>
    <s v="07 85 82 53 56"/>
    <m/>
    <m/>
    <m/>
    <x v="5"/>
    <x v="3"/>
    <s v="GRAND EST"/>
  </r>
  <r>
    <s v="BELABASSI"/>
    <s v="HAROUN"/>
    <m/>
    <m/>
    <s v="M"/>
    <s v="celia.gozillon@gmail.com"/>
    <m/>
    <m/>
    <s v="12 RUE DES LOGES"/>
    <m/>
    <m/>
    <s v="57000"/>
    <s v="METZ"/>
    <m/>
    <d v="2015-02-24T00:00:00"/>
    <n v="9"/>
    <s v="Metz (57), France"/>
    <m/>
    <s v="Oui"/>
    <s v="ADH-700037"/>
    <s v="Adhérent·e"/>
    <s v="Avec AYA BELABASSI"/>
    <s v="GOZILLON"/>
    <s v="CÉLIA"/>
    <s v="celia.eedf.metz@gmail.com"/>
    <m/>
    <s v="06 63 02 85 69"/>
    <m/>
    <m/>
    <m/>
    <x v="5"/>
    <x v="6"/>
    <s v="GRAND EST"/>
  </r>
  <r>
    <s v="BELABASSI"/>
    <s v="SARAH"/>
    <m/>
    <m/>
    <s v="F"/>
    <s v="celia.gozillon@gmail.com"/>
    <s v="06 63 02 85 69"/>
    <s v="06 63 02 85 69"/>
    <s v="12 RUE DES LOGES"/>
    <m/>
    <m/>
    <s v="57000"/>
    <s v="METZ"/>
    <s v="France"/>
    <d v="2012-05-14T00:00:00"/>
    <n v="12"/>
    <s v="Metz (57), France"/>
    <m/>
    <s v="Oui"/>
    <s v="ADH-602702"/>
    <s v="Adhérent·e"/>
    <s v="Avec AYA BELABASSI"/>
    <s v="GOZILLON"/>
    <s v="CÉLIA"/>
    <s v="celia.eedf.metz@gmail.com"/>
    <m/>
    <s v="06 63 02 85 69"/>
    <m/>
    <m/>
    <m/>
    <x v="5"/>
    <x v="6"/>
    <s v="GRAND EST"/>
  </r>
  <r>
    <s v="BERISA"/>
    <s v="ILYES"/>
    <m/>
    <m/>
    <s v="M"/>
    <s v="shaina.johanna.ilyan@hotmail.fr"/>
    <m/>
    <s v="06 72 01 19 04"/>
    <s v="16 la Belle Epine"/>
    <m/>
    <m/>
    <s v="10220"/>
    <s v="Mesnil Sellières"/>
    <m/>
    <d v="2013-12-28T00:00:00"/>
    <n v="10"/>
    <s v="Troyes (10), France"/>
    <m/>
    <s v="Oui"/>
    <s v="ADH-711194"/>
    <s v="Adhérent·e"/>
    <s v="Seul·e"/>
    <s v="BERISA"/>
    <s v="GLADYS"/>
    <s v="shaina.johanna.ilyan@hotmail.fr"/>
    <m/>
    <s v="06 72 01 19 04"/>
    <s v="BERISA"/>
    <s v="ADEM"/>
    <s v="shaina.johanna.ilyan@hotmail.fr"/>
    <x v="5"/>
    <x v="2"/>
    <s v="GRAND EST"/>
  </r>
  <r>
    <s v="BERISA"/>
    <s v="JOHANNA"/>
    <m/>
    <m/>
    <s v="F"/>
    <s v="shaina.johana.ilyan@hotmail.fr"/>
    <m/>
    <s v="06 20 31 18 64"/>
    <s v="16 la belle épine"/>
    <m/>
    <m/>
    <s v="10220"/>
    <s v="Mesnil Seillières"/>
    <m/>
    <d v="2007-03-20T00:00:00"/>
    <n v="17"/>
    <s v="Chaumont (52), France"/>
    <m/>
    <s v="Non"/>
    <s v="ADH-717762"/>
    <s v="Adhérent·e"/>
    <s v="Seul·e"/>
    <s v="BERISA"/>
    <s v="GLADYS"/>
    <s v="shaina.johanna.ilyan@hotmail.fr"/>
    <m/>
    <s v="06 72 01 19 04"/>
    <s v="BERISA"/>
    <s v="ADEM"/>
    <s v="shaina.johanna.ilyan@hotmail.fr"/>
    <x v="5"/>
    <x v="2"/>
    <s v="GRAND EST"/>
  </r>
  <r>
    <s v="BLUM"/>
    <s v="THIBAULT"/>
    <m/>
    <m/>
    <s v="M"/>
    <m/>
    <m/>
    <m/>
    <s v="2, rue d'Hemering"/>
    <m/>
    <m/>
    <s v="57385"/>
    <s v="TETING"/>
    <m/>
    <d v="2012-02-18T00:00:00"/>
    <n v="12"/>
    <s v="Forbach (57), France"/>
    <m/>
    <s v="Oui"/>
    <s v="ADH-718675"/>
    <s v="Adhérent·e"/>
    <s v="Non"/>
    <s v="SOMON"/>
    <s v="MEDERIC"/>
    <s v="ms13du57@gmail.com"/>
    <s v="07 71 76 01 37"/>
    <m/>
    <m/>
    <m/>
    <m/>
    <x v="5"/>
    <x v="9"/>
    <s v="GRAND EST"/>
  </r>
  <r>
    <s v="BOUGEL"/>
    <s v="PIERRE"/>
    <m/>
    <m/>
    <s v="M"/>
    <m/>
    <m/>
    <m/>
    <s v="17 rue Louis Hauvy"/>
    <m/>
    <m/>
    <s v="10300"/>
    <s v="Sainte Savine"/>
    <m/>
    <d v="2014-11-11T00:00:00"/>
    <n v="9"/>
    <s v="Troyes (10), France"/>
    <m/>
    <s v="Non"/>
    <s v="ADH-715950"/>
    <s v="Adhérent·e"/>
    <s v="Seul·e"/>
    <s v="BOUGEL"/>
    <s v="MARC"/>
    <s v="marc.bougel@gmail.com"/>
    <m/>
    <s v="06 35 96 39 35"/>
    <s v="GILLE"/>
    <s v="ANNE CECILE"/>
    <s v="acgille@gmail.com"/>
    <x v="5"/>
    <x v="8"/>
    <s v="GRAND EST"/>
  </r>
  <r>
    <s v="BRAND"/>
    <s v="SHANNA"/>
    <m/>
    <m/>
    <s v="F"/>
    <s v="joellenavarro@yahoo.fr"/>
    <m/>
    <m/>
    <s v="44 RUE PRINCIPALE"/>
    <m/>
    <m/>
    <s v="57340"/>
    <s v="DALHAIN"/>
    <s v="France"/>
    <d v="2015-06-11T00:00:00"/>
    <n v="9"/>
    <s v="Peltre (57), France"/>
    <m/>
    <s v="Oui"/>
    <s v="ADH-700898"/>
    <s v="Adhérent·e"/>
    <s v="Non"/>
    <s v="NAVARRO"/>
    <s v="JOELLE"/>
    <s v="joellenavarro@yahoo.fr"/>
    <m/>
    <m/>
    <m/>
    <m/>
    <m/>
    <x v="5"/>
    <x v="9"/>
    <s v="GRAND EST"/>
  </r>
  <r>
    <s v="CEGARRA"/>
    <s v="MILO"/>
    <m/>
    <m/>
    <s v="M"/>
    <m/>
    <m/>
    <m/>
    <s v="10 rue des orphelins"/>
    <m/>
    <m/>
    <s v="67000"/>
    <s v="strasbourg"/>
    <m/>
    <d v="2017-02-14T00:00:00"/>
    <n v="7"/>
    <s v="Strasbourg (67), France"/>
    <m/>
    <s v="Oui"/>
    <s v="ADH-715594"/>
    <s v="Adhérent·e"/>
    <s v="Avec LAURENCE BUCHER"/>
    <s v="CEGARRA"/>
    <s v="ANTOINE"/>
    <s v="acegarra@hotmail.com"/>
    <m/>
    <s v="06 83 63 14 16"/>
    <s v="SEITZ"/>
    <s v="VICTORINE"/>
    <s v="acegarra@hotmail.com"/>
    <x v="5"/>
    <x v="1"/>
    <s v="GRAND EST"/>
  </r>
  <r>
    <s v="CHEPY"/>
    <s v="LANDRY"/>
    <m/>
    <m/>
    <s v="M"/>
    <s v="annabelle.chepy@orange.fr"/>
    <m/>
    <s v="06 33 35 53 69"/>
    <s v="62 rue de la République"/>
    <m/>
    <m/>
    <s v="10150"/>
    <s v="Creney-près-Troyes"/>
    <s v="France"/>
    <d v="2011-09-12T00:00:00"/>
    <n v="12"/>
    <s v="Saint-Dizier (52), France"/>
    <m/>
    <s v="Oui"/>
    <s v="ADH-706523"/>
    <s v="Adhérent·e"/>
    <s v="Seul·e"/>
    <s v="CHEPY"/>
    <s v="ANNABELLE"/>
    <s v="annabelle.chepy@orange.fr"/>
    <m/>
    <s v="06 33 35 53 69"/>
    <s v="CHEPY"/>
    <s v="OLIVIER"/>
    <s v="jenaipas.cestpasoblige@jesuislibre.fr"/>
    <x v="5"/>
    <x v="2"/>
    <s v="GRAND EST"/>
  </r>
  <r>
    <s v="DENNY"/>
    <s v="LUCAS"/>
    <m/>
    <m/>
    <s v="M"/>
    <s v="pascal.denny@hotmail.fr"/>
    <s v="03 82 50 53 66"/>
    <s v="06 76 83 49 65"/>
    <s v="2 IMPASSE DES LILAS"/>
    <s v="VOLKRANGE"/>
    <m/>
    <s v="57100"/>
    <s v="THIONVILLE"/>
    <s v="France"/>
    <d v="2009-06-22T00:00:00"/>
    <n v="15"/>
    <s v="Thionville (57), France"/>
    <m/>
    <s v="Oui"/>
    <s v="ADH-586246"/>
    <s v="Adhérent·e"/>
    <s v="Avec PASCAL DENNY"/>
    <s v="DENNY"/>
    <s v="PASCAL"/>
    <s v="pascal.denny@hotmail.fr"/>
    <s v="03 82 50 53 66"/>
    <s v="06 76 83 49 65"/>
    <s v="BINDER"/>
    <s v="VIRGINIE"/>
    <s v="dennyvirginie@gmail.com"/>
    <x v="5"/>
    <x v="11"/>
    <s v="GRAND EST"/>
  </r>
  <r>
    <s v="HERBERT"/>
    <s v="LOIS"/>
    <m/>
    <m/>
    <s v="M"/>
    <s v="c.dole22@gmail.com"/>
    <m/>
    <s v="07 89 03 21 40"/>
    <s v="10 route de Courcelles"/>
    <m/>
    <m/>
    <s v="10390"/>
    <s v="Clérey"/>
    <m/>
    <d v="2016-01-19T00:00:00"/>
    <n v="8"/>
    <s v="Avranches (50), France"/>
    <m/>
    <s v="Non"/>
    <s v="ADH-717764"/>
    <s v="Adhérent·e"/>
    <s v="Avec LES PARENTS LES PARENTS"/>
    <s v="HERBERT"/>
    <s v="CHLOE"/>
    <s v="C.dole22@gmail.com"/>
    <m/>
    <s v="07 87 11 48 81"/>
    <s v="HERBERT"/>
    <s v="MAXIME"/>
    <s v="nomail@gmail.com"/>
    <x v="5"/>
    <x v="7"/>
    <s v="GRAND EST"/>
  </r>
  <r>
    <s v="LEFEVRE CHARLIER"/>
    <s v="NOA"/>
    <m/>
    <m/>
    <s v="M"/>
    <s v="virginiecharlier1982@gmail.com"/>
    <m/>
    <s v="06 34 09 18 32"/>
    <s v="1 RUE  DE COLOMBEY"/>
    <m/>
    <m/>
    <s v="57000"/>
    <s v="METZ"/>
    <s v="France"/>
    <d v="2013-03-15T00:00:00"/>
    <n v="11"/>
    <s v="Metz (57), France"/>
    <m/>
    <s v="Oui"/>
    <s v="ADH-615375"/>
    <s v="Adhérent·e"/>
    <s v="Avec ALEXANDRE TASCHINI"/>
    <s v="LEFEVRE"/>
    <s v="EMMANUEL"/>
    <s v="manu.lefevre57950@gmail.com"/>
    <m/>
    <s v="06 76 19 79 18"/>
    <s v="CHARLIER"/>
    <s v="VIRGINIE"/>
    <s v="virginiecharlier1982@gmail.com"/>
    <x v="5"/>
    <x v="6"/>
    <s v="GRAND EST"/>
  </r>
  <r>
    <s v="MENGONI"/>
    <s v="ROMAIN"/>
    <m/>
    <m/>
    <s v="M"/>
    <m/>
    <m/>
    <m/>
    <s v="3 IMPASSE DU SEL"/>
    <m/>
    <m/>
    <s v="57800"/>
    <s v="FREYMING MERLEBACH"/>
    <s v="France"/>
    <d v="2012-03-06T00:00:00"/>
    <n v="12"/>
    <s v="Saint-Avold (57), France"/>
    <m/>
    <s v="Oui"/>
    <s v="ADH-607213"/>
    <s v="Adhérent·e"/>
    <s v="Seul·e"/>
    <s v="MENGONI"/>
    <s v="ELISE"/>
    <s v="mengoni@hotmail.fr"/>
    <s v="06 16 06 75 98"/>
    <m/>
    <m/>
    <m/>
    <m/>
    <x v="5"/>
    <x v="9"/>
    <s v="GRAND EST"/>
  </r>
  <r>
    <s v="MULLER"/>
    <s v="ALOUMAYÉ"/>
    <m/>
    <m/>
    <s v="F"/>
    <s v="assia.luigna@gmail.com"/>
    <s v="06 79 75 01 78"/>
    <m/>
    <s v="35 rue des Vosges"/>
    <m/>
    <m/>
    <s v="90110"/>
    <s v="ROMAGNY SOUS ROUGEMONT"/>
    <s v="France"/>
    <d v="2013-09-23T00:00:00"/>
    <n v="10"/>
    <s v="Thann (68), France"/>
    <m/>
    <s v="Non"/>
    <s v="ADH-716237"/>
    <s v="Adhérent·e"/>
    <s v="Avec ALEXANDRA CAPON"/>
    <s v="MULLER"/>
    <s v="NASTASSIA"/>
    <s v="assia.luigna@gmail.com"/>
    <s v="06 79 75 01 78"/>
    <m/>
    <s v="MULLER"/>
    <s v="JEAN-PHILIPPE"/>
    <s v="jean-philippemuller@sfr.fr"/>
    <x v="5"/>
    <x v="10"/>
    <s v="GRAND EST"/>
  </r>
  <r>
    <s v="NOE"/>
    <s v="MARLEY"/>
    <m/>
    <m/>
    <s v="M"/>
    <m/>
    <m/>
    <m/>
    <s v="14, rue des tisserands"/>
    <m/>
    <m/>
    <s v="67620"/>
    <s v="Herbitzheim"/>
    <m/>
    <d v="2014-07-20T00:00:00"/>
    <n v="10"/>
    <m/>
    <m/>
    <s v="Oui"/>
    <s v="ADH-701516"/>
    <s v="Adhérent·e"/>
    <s v="Seul·e"/>
    <s v="WETZEL"/>
    <s v="KATIA"/>
    <s v="katia.wetzel@sfr.fr"/>
    <m/>
    <m/>
    <m/>
    <m/>
    <m/>
    <x v="5"/>
    <x v="9"/>
    <s v="GRAND EST"/>
  </r>
  <r>
    <s v="OUKISS"/>
    <s v="ADAM"/>
    <m/>
    <m/>
    <s v="M"/>
    <s v="joellenavarro@yahoo.fr"/>
    <s v="06 83 56 76 88"/>
    <m/>
    <s v="44 RUE PRINCIPALE"/>
    <m/>
    <m/>
    <s v="57340"/>
    <s v="DALHAIN"/>
    <s v="France"/>
    <d v="2009-07-31T00:00:00"/>
    <n v="15"/>
    <s v="Metz (57), France"/>
    <m/>
    <s v="Oui"/>
    <s v="ADH-614213"/>
    <s v="Adhérent·e"/>
    <s v="Non"/>
    <s v="NAVARRO"/>
    <s v="JOELLE"/>
    <s v="joellenavarro@yahoo.fr"/>
    <m/>
    <m/>
    <m/>
    <m/>
    <m/>
    <x v="5"/>
    <x v="9"/>
    <s v="GRAND EST"/>
  </r>
  <r>
    <s v="PIETRAS"/>
    <s v="BENJAMIN"/>
    <m/>
    <m/>
    <s v="M"/>
    <s v="laurelinemasson@hotmail.com"/>
    <m/>
    <s v="06 11 83 84 12"/>
    <s v="29 RUE DE NOVEANT"/>
    <m/>
    <m/>
    <s v="57680"/>
    <s v="GORZE"/>
    <s v="France"/>
    <d v="2014-01-27T00:00:00"/>
    <n v="10"/>
    <s v="Metz (57), France"/>
    <m/>
    <s v="Oui"/>
    <s v="ADH-615165"/>
    <s v="Adhérent·e"/>
    <s v="Non"/>
    <s v="PIETRAS"/>
    <s v="DIMITRI"/>
    <s v="laurelinemasson@hotmail.com"/>
    <m/>
    <s v="07 67 37 90 56"/>
    <s v="MASSON"/>
    <s v="LAURELINE"/>
    <s v="laurelinemasson@hotmail.com"/>
    <x v="5"/>
    <x v="6"/>
    <s v="GRAND EST"/>
  </r>
  <r>
    <s v="PIRRERA"/>
    <s v="DAPHNÉ"/>
    <m/>
    <m/>
    <s v="F"/>
    <m/>
    <m/>
    <m/>
    <s v="10 rue du Climont"/>
    <m/>
    <m/>
    <s v="67100"/>
    <s v="Strasbourg"/>
    <s v="France"/>
    <d v="2014-10-19T00:00:00"/>
    <n v="9"/>
    <s v="Strasbourg (67), France"/>
    <m/>
    <s v="Oui"/>
    <s v="ADH-704666"/>
    <s v="Adhérent·e"/>
    <s v="Avec JÉROME/ELIOT PIRRERA"/>
    <s v="PIRRERA"/>
    <s v="JÉROME"/>
    <s v="jerome.pirrera@gmail.com"/>
    <m/>
    <s v="06 51 15 90 21"/>
    <s v="BRACHET"/>
    <s v="LAURIE"/>
    <s v="laurie.brachet@gmail.com"/>
    <x v="5"/>
    <x v="1"/>
    <s v="GRAND EST"/>
  </r>
  <r>
    <s v="RAGONNET"/>
    <s v="MAELYNE"/>
    <m/>
    <m/>
    <s v="F"/>
    <s v="bilitis.dourthe@gmail.com"/>
    <m/>
    <s v="06 34 24 17 89"/>
    <s v="32 RUE ALBERT MARKS"/>
    <m/>
    <m/>
    <s v="57050"/>
    <s v="METZ"/>
    <s v="France"/>
    <d v="2012-12-07T00:00:00"/>
    <n v="11"/>
    <s v="Metz (57), France"/>
    <m/>
    <s v="Oui"/>
    <s v="ADH-616305"/>
    <s v="Adhérent·e"/>
    <s v="Avec BILITIS RAGONNET"/>
    <s v="RAGONNET"/>
    <s v="EMMANUEL"/>
    <m/>
    <m/>
    <s v="06 33 29 18 94"/>
    <s v="RAGONNET"/>
    <s v="BILITIS"/>
    <s v="bilitis.dourthe@gmail.com"/>
    <x v="5"/>
    <x v="4"/>
    <s v="GRAND EST"/>
  </r>
  <r>
    <s v="RELANGE"/>
    <s v="MAHAUT"/>
    <m/>
    <m/>
    <s v="F"/>
    <m/>
    <m/>
    <s v="06 49 69 30 76"/>
    <s v="26, rue du canal"/>
    <m/>
    <m/>
    <s v="68500"/>
    <s v="Guebwiller"/>
    <s v="France"/>
    <d v="2015-08-21T00:00:00"/>
    <n v="9"/>
    <s v="Pratteln (Suisse)"/>
    <m/>
    <s v="Non"/>
    <s v="ADH-715833"/>
    <s v="Adhérent·e"/>
    <s v="Avec IDEM CLAUDIN / KPENOU / HOCEDEZ"/>
    <s v="RELANGE"/>
    <s v="NICOLAS"/>
    <s v="juetnico@relange.org"/>
    <m/>
    <s v="06 49 69 30 76"/>
    <s v="RELANGE"/>
    <s v="JULIA"/>
    <s v="juetnico@relange.org"/>
    <x v="5"/>
    <x v="0"/>
    <s v="GRAND EST"/>
  </r>
  <r>
    <s v="RELANGE"/>
    <s v="MAHAUT"/>
    <m/>
    <m/>
    <s v="F"/>
    <m/>
    <m/>
    <s v="06 49 69 30 76"/>
    <s v="26, rue du canal"/>
    <m/>
    <m/>
    <s v="68500"/>
    <s v="Guebwiller"/>
    <s v="France"/>
    <d v="2015-08-21T00:00:00"/>
    <n v="9"/>
    <s v="Pratteln (Suisse)"/>
    <m/>
    <s v="Non"/>
    <s v="ADH-715834"/>
    <s v="Adhérent·e"/>
    <s v="Avec IDEM CLAUDIN / KPENOU / HOCEDEZ"/>
    <s v="RELANGE"/>
    <s v="NICOLAS"/>
    <s v="juetnico@relange.org"/>
    <m/>
    <s v="06 49 69 30 76"/>
    <s v="RELANGE"/>
    <s v="JULIA"/>
    <s v="juetnico@relange.org"/>
    <x v="5"/>
    <x v="0"/>
    <s v="GRAND EST"/>
  </r>
  <r>
    <s v="RIVERA"/>
    <s v="EULALIE"/>
    <m/>
    <m/>
    <s v="F"/>
    <s v="audrey.hiraux@sfr.fr"/>
    <m/>
    <s v="06 51 31 76 13"/>
    <s v="16 RUE DE LA CHAPELLE"/>
    <m/>
    <m/>
    <s v="57220"/>
    <s v="RICKRANGE"/>
    <s v="France"/>
    <d v="2009-09-08T00:00:00"/>
    <n v="14"/>
    <s v="Saint-Avold (57), France"/>
    <m/>
    <s v="Oui"/>
    <s v="ADH-596466"/>
    <s v="Adhérent·e"/>
    <s v="Non"/>
    <s v="HIRAUX"/>
    <s v="AUDREY"/>
    <s v="audrey.hiraux@sfr.fr"/>
    <m/>
    <s v="06 15 79 48 06"/>
    <m/>
    <m/>
    <m/>
    <x v="5"/>
    <x v="9"/>
    <s v="GRAND EST"/>
  </r>
  <r>
    <s v="RIVERA"/>
    <s v="ZOE"/>
    <m/>
    <m/>
    <s v="F"/>
    <s v="audrey.hiraux@sfr.fr"/>
    <m/>
    <s v="06 15 79 48 06"/>
    <s v="16 RUE DE LA CHAPELLE"/>
    <m/>
    <m/>
    <s v="57220"/>
    <s v="RICKRANGE"/>
    <s v="France"/>
    <d v="2006-11-20T00:00:00"/>
    <n v="17"/>
    <s v="Saint-Avold (57), France"/>
    <m/>
    <s v="Oui"/>
    <s v="ADH-596465"/>
    <s v="Adhérent·e"/>
    <s v="Non"/>
    <s v="HIRAUX"/>
    <s v="AUDREY"/>
    <s v="audrey.hiraux@sfr.fr"/>
    <m/>
    <s v="06 15 79 48 06"/>
    <m/>
    <m/>
    <m/>
    <x v="5"/>
    <x v="9"/>
    <s v="GRAND EST"/>
  </r>
  <r>
    <s v="ROBIN"/>
    <s v="AMAEL"/>
    <m/>
    <m/>
    <s v="M"/>
    <s v="vaju18@yahoo.fr"/>
    <m/>
    <s v="06 26 17 06 07"/>
    <s v="8 rue Yvonne Martinot"/>
    <m/>
    <m/>
    <s v="10140"/>
    <s v="Mesnil St Père"/>
    <m/>
    <d v="2011-07-14T00:00:00"/>
    <n v="13"/>
    <s v="Troyes (10), France"/>
    <m/>
    <s v="Non"/>
    <s v="ADH-715926"/>
    <s v="Adhérent·e"/>
    <s v="Non"/>
    <s v="VAUTRIN"/>
    <s v="JUSTINE"/>
    <s v="vaju18@yahoo.fr"/>
    <m/>
    <s v="06 26 17 06 07"/>
    <m/>
    <m/>
    <m/>
    <x v="5"/>
    <x v="2"/>
    <s v="GRAND EST"/>
  </r>
  <r>
    <s v="RUIZ-GARCIA"/>
    <s v="DYLAN"/>
    <m/>
    <m/>
    <s v="M"/>
    <s v="freddykat57@hotmail.fr"/>
    <m/>
    <s v="06 78 09 00 69"/>
    <s v="9, allée de la foret"/>
    <m/>
    <m/>
    <s v="57455"/>
    <s v="Théding"/>
    <s v="France"/>
    <d v="2008-11-11T00:00:00"/>
    <n v="15"/>
    <s v="Saint-Avold (57), France"/>
    <m/>
    <s v="Oui"/>
    <s v="ADH-597274"/>
    <s v="Adhérent·e"/>
    <s v="Seul·e"/>
    <s v="RUIZ-GARCIA"/>
    <s v="CATHY"/>
    <s v="freddykat57@hotmail.fr"/>
    <m/>
    <s v="06 78 09 00 69"/>
    <m/>
    <m/>
    <m/>
    <x v="5"/>
    <x v="9"/>
    <s v="GRAND EST"/>
  </r>
  <r>
    <s v="SALAMALA RIVIERE"/>
    <s v="MATTHIEU"/>
    <m/>
    <m/>
    <s v="M"/>
    <s v="mariebernard974@hotmail.fr"/>
    <m/>
    <s v="07 81 44 65 15"/>
    <s v="17 rue Lafargue"/>
    <m/>
    <m/>
    <s v="10000"/>
    <s v="TROYES"/>
    <m/>
    <d v="2013-04-04T00:00:00"/>
    <n v="11"/>
    <s v="Saint Benoit"/>
    <m/>
    <s v="Oui"/>
    <s v="ADH-712177"/>
    <s v="Adhérent·e"/>
    <s v="Avec MARIE HOAREAU"/>
    <s v="HOAREAU"/>
    <s v="MARIE"/>
    <s v="mariebernard974@hotmail.fr"/>
    <m/>
    <s v="07 81 44 65 15"/>
    <m/>
    <m/>
    <m/>
    <x v="5"/>
    <x v="2"/>
    <s v="GRAND EST"/>
  </r>
  <r>
    <s v="SALAMALA RIVIERE"/>
    <s v="ZOE"/>
    <m/>
    <m/>
    <s v="F"/>
    <s v="mariebernard974@hotmail.fr"/>
    <m/>
    <s v="07 81 44 65 15"/>
    <s v="17 rue Lafargue"/>
    <m/>
    <m/>
    <s v="10000"/>
    <s v="TROYES"/>
    <m/>
    <d v="2015-12-09T00:00:00"/>
    <n v="8"/>
    <s v="Saint Paul"/>
    <m/>
    <s v="Oui"/>
    <s v="ADH-712178"/>
    <s v="Adhérent·e"/>
    <s v="Avec MARIE HOAREAU"/>
    <s v="HOAREAU"/>
    <s v="MARIE"/>
    <s v="mariebernard974@hotmail.fr"/>
    <m/>
    <s v="07 81 44 65 15"/>
    <m/>
    <m/>
    <m/>
    <x v="5"/>
    <x v="2"/>
    <s v="GRAND EST"/>
  </r>
  <r>
    <s v="SCHNEIDER"/>
    <s v="OSCAR"/>
    <m/>
    <m/>
    <s v="M"/>
    <s v="estelleleopold@hotmail.com"/>
    <s v="03 54 44 50 62"/>
    <s v="06 45 80 12 63"/>
    <s v="10 rue Gregoire de Tours"/>
    <m/>
    <m/>
    <s v="57000"/>
    <s v="METZ"/>
    <s v="France"/>
    <d v="2012-08-07T00:00:00"/>
    <n v="12"/>
    <s v="Metz (57), France"/>
    <m/>
    <s v="Oui"/>
    <s v="ADH-718913"/>
    <s v="Adhérent·e"/>
    <s v="Avec SCHNEIDER LUCIEN"/>
    <s v="LEOPOLD"/>
    <s v="ESTELLE"/>
    <s v="estelleleopold@hotmail.com"/>
    <s v="03 54 44 50 62"/>
    <s v="06 45 80 12 63"/>
    <s v="SCHNEIDER"/>
    <s v="MARC"/>
    <s v="schneider.marc@neuf.fr"/>
    <x v="5"/>
    <x v="5"/>
    <s v="GRAND EST"/>
  </r>
  <r>
    <s v="SCHOENHENTZ"/>
    <s v="NOEMY"/>
    <m/>
    <m/>
    <s v="F"/>
    <s v="Stephanierenard67260@gmail.com"/>
    <m/>
    <s v="07 67 62 33 13"/>
    <s v="27, rue pasteur"/>
    <m/>
    <m/>
    <s v="57410"/>
    <s v="Rohrbach les Bitche"/>
    <s v="France"/>
    <d v="2011-04-28T00:00:00"/>
    <n v="13"/>
    <s v="Sarreguemines (57), France"/>
    <m/>
    <s v="Oui"/>
    <s v="ADH-609069"/>
    <s v="Adhérent·e"/>
    <s v="Non"/>
    <s v="RENARD"/>
    <s v="STEPHANIE"/>
    <s v="stephanierenard67260@gmail.com"/>
    <m/>
    <m/>
    <m/>
    <m/>
    <m/>
    <x v="5"/>
    <x v="9"/>
    <s v="GRAND EST"/>
  </r>
  <r>
    <s v="SY"/>
    <s v="FATOU-REGINA"/>
    <m/>
    <m/>
    <s v="F"/>
    <m/>
    <s v="07 53 35 49 89"/>
    <m/>
    <s v="18 rue Théo Fischer"/>
    <m/>
    <m/>
    <s v="68200"/>
    <s v="Mulhouse"/>
    <s v="France"/>
    <d v="2015-09-10T00:00:00"/>
    <n v="8"/>
    <s v="Mulhouse (68), France"/>
    <m/>
    <s v="Oui"/>
    <s v="ADH-703470"/>
    <s v="Adhérent·e"/>
    <s v="Avec NATALE CAVA"/>
    <s v="CAVA"/>
    <s v="VALENTINA"/>
    <s v="valentina.cava.sy@gmail.com"/>
    <s v="09 50 79 50 78"/>
    <s v="07 53 35 49 89"/>
    <m/>
    <m/>
    <m/>
    <x v="5"/>
    <x v="10"/>
    <s v="GRAND EST"/>
  </r>
  <r>
    <s v="SY"/>
    <s v="SASSOUM-BENEDETTA"/>
    <m/>
    <m/>
    <s v="F"/>
    <m/>
    <s v="07 68 21 61 22"/>
    <m/>
    <s v="18 rue Théo Fischer"/>
    <m/>
    <m/>
    <s v="68200"/>
    <s v="Mulhouse"/>
    <s v="France"/>
    <d v="2014-06-30T00:00:00"/>
    <n v="10"/>
    <s v="Mulhouse (68), France"/>
    <m/>
    <s v="Oui"/>
    <s v="ADH-703469"/>
    <s v="Adhérent·e"/>
    <s v="Avec NATALE CAVA"/>
    <s v="CAVA"/>
    <s v="VALENTINA"/>
    <s v="valentina.cava.sy@gmail.com"/>
    <s v="09 50 79 50 78"/>
    <s v="07 53 35 49 89"/>
    <m/>
    <m/>
    <m/>
    <x v="5"/>
    <x v="10"/>
    <s v="GRAND EST"/>
  </r>
  <r>
    <s v="TEILLARD"/>
    <s v="JOSUE"/>
    <m/>
    <m/>
    <s v="M"/>
    <s v="teillard.josue@outlook.fr"/>
    <m/>
    <s v="06 02 43 01 31"/>
    <s v="2 rue des tisserands"/>
    <m/>
    <m/>
    <s v="68360"/>
    <s v="soultz"/>
    <s v="France"/>
    <d v="2006-12-09T00:00:00"/>
    <n v="17"/>
    <s v="Mulhouse (68), France"/>
    <m/>
    <s v="Oui"/>
    <s v="ADH-709680"/>
    <s v="Adhérent·e"/>
    <s v="Seul·e"/>
    <s v="TEILLARD"/>
    <s v="MATHIEU"/>
    <s v="mathieu.teillard@gmail.com"/>
    <m/>
    <s v="06 16 82 58 44"/>
    <s v="TEILLARD"/>
    <s v="MICHÉLE"/>
    <s v="micala428@msn.com"/>
    <x v="5"/>
    <x v="0"/>
    <s v="GRAND EST"/>
  </r>
  <r>
    <s v="VASSET"/>
    <s v="FANNY"/>
    <m/>
    <m/>
    <s v="F"/>
    <m/>
    <m/>
    <m/>
    <s v="43, rue Clémenceau"/>
    <m/>
    <m/>
    <s v="57430"/>
    <s v="SARRALBE"/>
    <m/>
    <d v="2016-03-09T00:00:00"/>
    <n v="8"/>
    <s v="Sarreguemines (57), France"/>
    <m/>
    <s v="Oui"/>
    <s v="ADH-718673"/>
    <s v="Adhérent·e"/>
    <s v="Non"/>
    <s v="VASSET"/>
    <s v="JESSICA"/>
    <s v="alexandre.jess@hotmail.fr"/>
    <m/>
    <s v="06 65 34 98 58"/>
    <m/>
    <m/>
    <m/>
    <x v="5"/>
    <x v="9"/>
    <s v="GRAND EST"/>
  </r>
  <r>
    <s v="VERBORGH"/>
    <s v="KENZO"/>
    <m/>
    <m/>
    <s v="M"/>
    <s v="joellenavarro@yahoo.fr"/>
    <m/>
    <m/>
    <s v="44 rue principale"/>
    <m/>
    <m/>
    <s v="57340"/>
    <s v="Saint advold"/>
    <m/>
    <d v="2016-04-20T00:00:00"/>
    <n v="8"/>
    <s v="Saint-Avold (57), France"/>
    <m/>
    <s v="Oui"/>
    <s v="ADH-711190"/>
    <s v="Adhérent·e"/>
    <s v="Non"/>
    <s v="NAVARRO"/>
    <s v="JOELLE"/>
    <s v="joellenavarro@yahoo.fr"/>
    <m/>
    <m/>
    <m/>
    <m/>
    <m/>
    <x v="5"/>
    <x v="9"/>
    <s v="GRAND EST"/>
  </r>
  <r>
    <s v="BREHINIER"/>
    <s v="LUBIN"/>
    <m/>
    <m/>
    <s v="M"/>
    <m/>
    <m/>
    <m/>
    <s v="37, RUE DES PEPENIERES"/>
    <m/>
    <m/>
    <s v="57050"/>
    <s v="LONGEVILLE-LES-METZ"/>
    <s v="France"/>
    <d v="2014-12-03T00:00:00"/>
    <n v="9"/>
    <s v="Peltre (57), France"/>
    <m/>
    <s v="Oui"/>
    <s v="ADH-716643"/>
    <s v="Adhérent·e"/>
    <s v="Non"/>
    <s v="BREHINIER"/>
    <s v="ALEXIS"/>
    <s v="abrehinier@gmail.com"/>
    <m/>
    <s v="06 75 54 37 18"/>
    <s v="THOMAS"/>
    <s v="MARION"/>
    <s v="abrehinier@gmail.com"/>
    <x v="6"/>
    <x v="5"/>
    <s v="GRAND EST"/>
  </r>
  <r>
    <s v="CHARLES"/>
    <s v="LUCIE"/>
    <m/>
    <m/>
    <s v="F"/>
    <s v="clemence.islande90@gmail.com"/>
    <m/>
    <s v="06 17 77 65 23"/>
    <s v="391 rue de Novillard"/>
    <m/>
    <m/>
    <s v="90400"/>
    <s v="VEZELOIS"/>
    <m/>
    <d v="2014-09-16T00:00:00"/>
    <n v="9"/>
    <s v="Belfort (90), France"/>
    <m/>
    <s v="Oui"/>
    <s v="ADH-715114"/>
    <s v="Adhérent·e"/>
    <s v="Avec CEDRIC OU CLEMENCE CHARLES"/>
    <s v="CHARLES"/>
    <s v="CLÉMENCE"/>
    <s v="clemence.islande90@gmail.com"/>
    <m/>
    <s v="06 17 77 65 23"/>
    <s v="CHARLES"/>
    <s v="CEDRIC"/>
    <s v="charlescedric78@gmail.com"/>
    <x v="6"/>
    <x v="10"/>
    <s v="GRAND EST"/>
  </r>
  <r>
    <s v="CHARLES"/>
    <s v="MANON"/>
    <m/>
    <m/>
    <s v="F"/>
    <s v="clemence.islande90@gmail.com"/>
    <m/>
    <s v="06 17 77 65 23"/>
    <s v="391 rue de Novillard"/>
    <m/>
    <m/>
    <s v="90400"/>
    <s v="VEZELOIS"/>
    <m/>
    <d v="2014-09-16T00:00:00"/>
    <n v="9"/>
    <s v="Belfort (90), France"/>
    <m/>
    <s v="Oui"/>
    <s v="ADH-715115"/>
    <s v="Adhérent·e"/>
    <s v="Avec CEDRIC OU CLEMENCE CHARLES"/>
    <s v="CHARLES"/>
    <s v="CLÉMENCE"/>
    <s v="clemence.islande90@gmail.com"/>
    <m/>
    <s v="06 17 77 65 23"/>
    <s v="CHARLES"/>
    <s v="CEDRIC"/>
    <s v="charlescedric78@gmail.com"/>
    <x v="6"/>
    <x v="10"/>
    <s v="GRAND EST"/>
  </r>
  <r>
    <s v="CHOPIN"/>
    <s v="AUGUSTINE"/>
    <m/>
    <m/>
    <s v="F"/>
    <s v="blandinchloe@gmail.com"/>
    <m/>
    <s v="06 67 33 62 62"/>
    <s v="16 rue Jules Ferry"/>
    <m/>
    <m/>
    <s v="54220"/>
    <s v="malzeville"/>
    <s v="France"/>
    <d v="2017-03-30T00:00:00"/>
    <n v="7"/>
    <s v="Nancy (54), France"/>
    <m/>
    <s v="Oui"/>
    <s v="ADH-718151"/>
    <s v="Adhérent·e"/>
    <s v="Seul·e"/>
    <s v="CHOPIN"/>
    <s v="CHLOÉ"/>
    <s v="blandinchloe@gmail.com"/>
    <m/>
    <s v="06 67 33 62 62"/>
    <m/>
    <m/>
    <m/>
    <x v="6"/>
    <x v="12"/>
    <s v="GRAND EST"/>
  </r>
  <r>
    <s v="COUSIN"/>
    <s v="COLINE"/>
    <m/>
    <m/>
    <s v="F"/>
    <s v="famille.cousin.descamps@gmail.com"/>
    <m/>
    <m/>
    <s v="7 RUE MAZARIN"/>
    <m/>
    <m/>
    <s v="57000"/>
    <s v="METZ"/>
    <s v="France"/>
    <d v="2012-02-04T00:00:00"/>
    <n v="12"/>
    <s v="Metz (57), France"/>
    <m/>
    <s v="Oui"/>
    <s v="ADH-613604"/>
    <s v="Adhérent·e"/>
    <s v="Avec MARC SCHNEIDER"/>
    <s v="COUSIN"/>
    <s v="LUDOVIC"/>
    <s v="famille.cousin.descamps@gmail.com"/>
    <m/>
    <s v="06 76 50 97 76"/>
    <m/>
    <m/>
    <m/>
    <x v="6"/>
    <x v="5"/>
    <s v="GRAND EST"/>
  </r>
  <r>
    <s v="COUX DIT CASTILLE"/>
    <s v="CÉCILE"/>
    <m/>
    <m/>
    <s v="F"/>
    <m/>
    <m/>
    <m/>
    <s v="2 Rue Baldung-Grien"/>
    <m/>
    <m/>
    <s v="67000"/>
    <s v="Strasbourg"/>
    <s v="France"/>
    <d v="2012-05-06T00:00:00"/>
    <n v="12"/>
    <s v="Paris 11ème (75), France"/>
    <m/>
    <s v="Oui"/>
    <s v="ADH-704845"/>
    <s v="Adhérent·e"/>
    <s v="Seul·e"/>
    <s v="BUCHER"/>
    <s v="CLÉMENCE"/>
    <s v="clemencebucher@hotmail.com"/>
    <s v="09 52 87 41 29"/>
    <s v="06 09 05 20 97"/>
    <s v="COUX DIT CASTILLE"/>
    <s v="THOMAS"/>
    <s v="thomascoux@hotmail.com"/>
    <x v="6"/>
    <x v="1"/>
    <s v="GRAND EST"/>
  </r>
  <r>
    <s v="DAMAY"/>
    <s v="CHLOE"/>
    <m/>
    <m/>
    <s v="F"/>
    <m/>
    <m/>
    <m/>
    <s v="18, RUE DU MOULIN"/>
    <m/>
    <m/>
    <s v="57140"/>
    <s v="SAULNY"/>
    <s v="France"/>
    <d v="2012-08-20T00:00:00"/>
    <n v="12"/>
    <s v="Metz (57), France"/>
    <m/>
    <s v="Oui"/>
    <s v="ADH-616126"/>
    <s v="Adhérent·e"/>
    <s v="Non"/>
    <s v="DAMAY"/>
    <s v="NICOLAS"/>
    <s v="damay.nicolas@hotmail.fr"/>
    <m/>
    <s v="06 61 01 12 37"/>
    <s v="DAMAY"/>
    <s v="AUDREY"/>
    <s v="audrey-barthelemy@hotmail.fr"/>
    <x v="6"/>
    <x v="5"/>
    <s v="GRAND EST"/>
  </r>
  <r>
    <s v="GENEVRIER"/>
    <s v="SACHA"/>
    <m/>
    <m/>
    <s v="M"/>
    <s v="mandy.grumier@aol.com"/>
    <s v="06 88 63 02 74"/>
    <m/>
    <s v="29 rue de la république"/>
    <m/>
    <m/>
    <s v="10390"/>
    <s v="verrières"/>
    <m/>
    <d v="2015-07-24T00:00:00"/>
    <n v="9"/>
    <s v="Troyes (10), France"/>
    <m/>
    <s v="Oui"/>
    <s v="ADH-704064"/>
    <s v="Adhérent·e"/>
    <s v="Avec PARENTS PARENTS"/>
    <s v="GRUMIER"/>
    <s v="MANDY"/>
    <s v="mandy.grumier@aol.com"/>
    <m/>
    <s v="06 88 63 02 74"/>
    <s v="GENEVRIER"/>
    <s v="LOIC"/>
    <s v="genevrierloicAAA@orange.fr"/>
    <x v="6"/>
    <x v="2"/>
    <s v="GRAND EST"/>
  </r>
  <r>
    <s v="GRIESMAR"/>
    <s v="MARK"/>
    <m/>
    <m/>
    <s v="M"/>
    <m/>
    <m/>
    <m/>
    <s v="4, RESIDENCE LE MOULIN"/>
    <m/>
    <m/>
    <s v="57270"/>
    <s v="RICHEMONT [57270]"/>
    <s v="France"/>
    <d v="2013-12-15T00:00:00"/>
    <n v="10"/>
    <s v="Richemont (57), France"/>
    <m/>
    <s v="Oui"/>
    <s v="ADH-616125"/>
    <s v="Adhérent·e"/>
    <s v="Avec ANTOINE PUJOS"/>
    <s v="RISTOCK"/>
    <s v="DANILA"/>
    <s v="danila.ristock@free.fr"/>
    <m/>
    <s v="06 14 03 71 39"/>
    <s v="GRIESMAR"/>
    <s v="MAXIME"/>
    <s v="inconnu@hotmail.com"/>
    <x v="6"/>
    <x v="5"/>
    <s v="GRAND EST"/>
  </r>
  <r>
    <s v="HAYME"/>
    <s v="VICTOR"/>
    <m/>
    <m/>
    <s v="M"/>
    <s v="juliekauffmann@hotmail.fr"/>
    <m/>
    <s v="06 20 03 36 01"/>
    <s v="3 RUE DU DR LÉON MANGENEY"/>
    <m/>
    <m/>
    <s v="68100"/>
    <s v="MULHOUSE"/>
    <s v="France"/>
    <d v="2012-07-12T00:00:00"/>
    <n v="12"/>
    <s v="Strasbourg (67), France"/>
    <m/>
    <s v="Oui"/>
    <s v="ADH-612814"/>
    <s v="Adhérent·e"/>
    <s v="Seul·e"/>
    <s v="HAYME"/>
    <s v="JULIE"/>
    <s v="juliekauffmann@hotmail.fr"/>
    <m/>
    <s v="06 20 03 36 01"/>
    <s v="HAYME"/>
    <s v="JACQUES"/>
    <s v="jacqueshayme@hotmail.fr"/>
    <x v="6"/>
    <x v="10"/>
    <s v="GRAND EST"/>
  </r>
  <r>
    <s v="HODGSON"/>
    <s v="JOSEPH"/>
    <m/>
    <m/>
    <s v="M"/>
    <m/>
    <m/>
    <m/>
    <s v="36 rue de la mairie"/>
    <m/>
    <m/>
    <s v="57920"/>
    <s v="KEMPLICH"/>
    <m/>
    <d v="2009-10-21T00:00:00"/>
    <n v="14"/>
    <m/>
    <m/>
    <s v="Oui"/>
    <s v="ADH-711234"/>
    <s v="Adhérent·e"/>
    <s v="Avec HELEN HODGSON"/>
    <s v="HODGSON"/>
    <s v="CHRISTOPHER"/>
    <s v="c.paul.hodgson@gmail.com"/>
    <s v="03 82 54 30 89"/>
    <s v="07 69 92 16 75"/>
    <s v="HODGSON"/>
    <s v="HELEN"/>
    <s v="helen.hodgson@gmail.com"/>
    <x v="6"/>
    <x v="11"/>
    <s v="GRAND EST"/>
  </r>
  <r>
    <s v="HOFFMANN"/>
    <s v="ANTOINE"/>
    <m/>
    <m/>
    <s v="M"/>
    <s v="hoffmann.tatiana@gmail.com"/>
    <m/>
    <s v="06 08 05 83 04"/>
    <s v="12 RUE DE LA COMMANDERIE"/>
    <m/>
    <m/>
    <s v="57070"/>
    <s v="METZ"/>
    <s v="France"/>
    <d v="2014-11-10T00:00:00"/>
    <n v="9"/>
    <s v="Neuilly-sur-Seine (92), France"/>
    <m/>
    <s v="Oui"/>
    <s v="ADH-616599"/>
    <s v="Adhérent·e"/>
    <s v="Avec ALEXANDRE HOFFMANN"/>
    <s v="HOFFMANN"/>
    <s v="VINCENT"/>
    <s v="vincent.g.hoffmann@hotmail.com"/>
    <m/>
    <s v="06 88 06 85 13"/>
    <s v="HOFFMANN"/>
    <s v="TATIANA"/>
    <s v="hoffmann.tatiana@gmail.com"/>
    <x v="6"/>
    <x v="6"/>
    <s v="GRAND EST"/>
  </r>
  <r>
    <s v="LITZENBURGER"/>
    <s v="THIMOTHÉE"/>
    <m/>
    <m/>
    <s v="M"/>
    <m/>
    <m/>
    <m/>
    <s v="51, rue principale"/>
    <m/>
    <m/>
    <s v="57200"/>
    <s v="Bliesbruck"/>
    <m/>
    <d v="2014-12-01T00:00:00"/>
    <n v="9"/>
    <s v="Strasbourg (67), France"/>
    <m/>
    <s v="Oui"/>
    <s v="ADH-713378"/>
    <s v="Adhérent·e"/>
    <s v="Non"/>
    <s v="LITZENBURGER"/>
    <s v="CHRISTELLE"/>
    <s v="christelle.litz@icloud.com"/>
    <m/>
    <m/>
    <m/>
    <m/>
    <m/>
    <x v="6"/>
    <x v="9"/>
    <s v="GRAND EST"/>
  </r>
  <r>
    <s v="MOEGLIN"/>
    <s v="TITOUAIN"/>
    <m/>
    <m/>
    <s v="M"/>
    <m/>
    <m/>
    <s v="06 82 60 56 41"/>
    <s v="36 route de rouffach"/>
    <m/>
    <m/>
    <s v="68500"/>
    <s v="Guebwiller"/>
    <s v="France"/>
    <d v="2014-03-02T00:00:00"/>
    <n v="10"/>
    <s v="Mulhouse (68), France"/>
    <m/>
    <s v="Oui"/>
    <s v="ADH-709031"/>
    <s v="Adhérent·e"/>
    <s v="Avec PATRICK STRAUB"/>
    <s v="MOEGLIN"/>
    <s v="LOIC"/>
    <s v="loic.moeglin@laposte.net"/>
    <m/>
    <s v="06 82 60 56 41"/>
    <s v="STRAUB"/>
    <s v="MELANIE"/>
    <s v="melanie.straub@laposte.net"/>
    <x v="6"/>
    <x v="0"/>
    <s v="GRAND EST"/>
  </r>
  <r>
    <s v="PAPIN"/>
    <s v="NOAH"/>
    <m/>
    <m/>
    <s v="M"/>
    <s v="Kixe@hotmail.fr"/>
    <m/>
    <s v="06 13 59 38 57"/>
    <s v="3 rue Pasteur"/>
    <m/>
    <m/>
    <s v="10800"/>
    <s v="SAINT JULIEN LES VILLAS"/>
    <m/>
    <d v="2014-05-30T00:00:00"/>
    <n v="10"/>
    <s v="Troyes (10), France"/>
    <m/>
    <s v="Oui"/>
    <s v="ADH-708976"/>
    <s v="Adhérent·e"/>
    <s v="Non"/>
    <s v="PAPIN"/>
    <s v="SANDRINE"/>
    <s v="kixe@hotmail.fr"/>
    <m/>
    <s v="06 13 59 38 57"/>
    <s v="PAPIN"/>
    <s v="SYLVAIN"/>
    <s v="hikar@gmail.com"/>
    <x v="6"/>
    <x v="2"/>
    <s v="GRAND EST"/>
  </r>
  <r>
    <s v="SCHMID"/>
    <s v="JEANNE"/>
    <m/>
    <m/>
    <s v="F"/>
    <m/>
    <m/>
    <m/>
    <s v="42 Rue de l'Oberelsau"/>
    <m/>
    <m/>
    <s v="67000"/>
    <s v="Strasbourg"/>
    <s v="France"/>
    <d v="2013-02-28T00:00:00"/>
    <n v="11"/>
    <s v="Strasbourg (67), France"/>
    <m/>
    <s v="Oui"/>
    <s v="ADH-615741"/>
    <s v="Adhérent·e"/>
    <s v="Avec GUILLAUME / DOROTHEE SCHMID / SPINNER"/>
    <s v="SPINNER"/>
    <s v="DOROTHÉE"/>
    <s v="dospinner@gmail.com"/>
    <m/>
    <s v="06 71 75 36 10"/>
    <s v="SCHMID"/>
    <s v="GUILLAUME"/>
    <s v="dospinner@gmail.com"/>
    <x v="6"/>
    <x v="1"/>
    <s v="GRAND EST"/>
  </r>
  <r>
    <s v="STEVENIN"/>
    <s v="GABIN"/>
    <m/>
    <m/>
    <s v="M"/>
    <m/>
    <m/>
    <m/>
    <s v="26 rue de l'Union"/>
    <m/>
    <m/>
    <s v="10300"/>
    <s v="Sainte Savine"/>
    <m/>
    <d v="2014-10-17T00:00:00"/>
    <n v="9"/>
    <s v="paris"/>
    <m/>
    <s v="Non"/>
    <s v="ADH-715853"/>
    <s v="Adhérent·e"/>
    <s v="Non"/>
    <s v="STEVENIN"/>
    <s v="JUSTINE"/>
    <s v="justine.becard@gmail.com"/>
    <m/>
    <s v="06 82 00 41 10"/>
    <s v="STEVENIN"/>
    <s v="ALBAN"/>
    <s v="alban.stevenin@gmail.com"/>
    <x v="6"/>
    <x v="8"/>
    <s v="GRAND EST"/>
  </r>
  <r>
    <s v="TSCHAENN"/>
    <s v="LEON"/>
    <m/>
    <m/>
    <s v="M"/>
    <m/>
    <m/>
    <m/>
    <s v="142 rue Mac Mahon"/>
    <m/>
    <m/>
    <s v="54000"/>
    <s v="nancy"/>
    <s v="France"/>
    <d v="2015-03-28T00:00:00"/>
    <n v="9"/>
    <s v="Nancy (54), France"/>
    <m/>
    <s v="Non"/>
    <s v="ADH-718024"/>
    <s v="Adhérent·e"/>
    <s v="Avec TSCHAENN JULIEN"/>
    <s v="TSCHAENN"/>
    <s v="JULIEN"/>
    <s v="ophelie.malgras@gmail.com"/>
    <s v="06 08 80 93 30"/>
    <m/>
    <m/>
    <m/>
    <m/>
    <x v="6"/>
    <x v="12"/>
    <s v="GRAND EST"/>
  </r>
  <r>
    <s v="VAN DER WALT"/>
    <s v="IVO"/>
    <m/>
    <m/>
    <s v="M"/>
    <s v="sib.vanderwalt@gmail.com"/>
    <s v="09 80 92 09 24"/>
    <s v="07 68 41 12 24"/>
    <s v="1 RUE FOES"/>
    <m/>
    <m/>
    <s v="57000"/>
    <s v="METZ"/>
    <s v="France"/>
    <d v="2013-05-14T00:00:00"/>
    <n v="11"/>
    <s v="Luxembourg, Luxembourg"/>
    <m/>
    <s v="Oui"/>
    <s v="ADH-615168"/>
    <s v="Adhérent·e"/>
    <s v="Non"/>
    <s v="VAN DER WALT"/>
    <s v="JOHAN"/>
    <s v="johan.vanderwalt@uni.lu"/>
    <m/>
    <s v="07 68 35 78 18"/>
    <s v="VAN DER WALT"/>
    <s v="SIBYLLE"/>
    <s v="sib.vanderwalt@gmail.com"/>
    <x v="6"/>
    <x v="6"/>
    <s v="GRAND EST"/>
  </r>
  <r>
    <s v="WURTZ"/>
    <s v="PIERRE"/>
    <m/>
    <m/>
    <s v="M"/>
    <s v="pierre_wurtz10@yahoo.com"/>
    <m/>
    <s v="06 51 73 96 08"/>
    <s v="41 RUE DE LA BLANCHE BORNE"/>
    <m/>
    <m/>
    <s v="57070"/>
    <s v="METZ"/>
    <s v="France"/>
    <d v="2010-08-05T00:00:00"/>
    <n v="14"/>
    <s v="Metz (57), France"/>
    <m/>
    <s v="Oui"/>
    <s v="ADH-593799"/>
    <s v="Adhérent·e"/>
    <s v="Avec ISABELLE/PHILIPPE/FRANCOISE WURTZ"/>
    <s v="WURTZ"/>
    <s v="ISABELLE"/>
    <s v="isa_normand@yahoo.fr"/>
    <m/>
    <s v="06 62 76 94 41"/>
    <s v="WURTZ"/>
    <s v="PHILIPPE"/>
    <s v="philippe_wurtz@yahoo.fr"/>
    <x v="6"/>
    <x v="11"/>
    <s v="GRAND EST"/>
  </r>
  <r>
    <s v="BARLETTA"/>
    <s v="EDOUARD"/>
    <m/>
    <m/>
    <s v="M"/>
    <m/>
    <m/>
    <m/>
    <s v="28 rue du Chère"/>
    <m/>
    <m/>
    <s v="54690"/>
    <s v="Eulmont"/>
    <s v="France"/>
    <d v="2017-10-12T00:00:00"/>
    <n v="6"/>
    <s v="Nancy (54), France"/>
    <m/>
    <s v="Non"/>
    <s v="ADH-716746"/>
    <s v="Adhérent·e"/>
    <s v="Avec SANDRINE BARLETTA"/>
    <s v="BARLETTA"/>
    <s v="SANDRINE"/>
    <s v="sandrine.barletta@gmail.com"/>
    <m/>
    <s v="06 28 22 45 83"/>
    <m/>
    <m/>
    <m/>
    <x v="7"/>
    <x v="12"/>
    <s v="GRAND EST"/>
  </r>
  <r>
    <s v="BARRAUD"/>
    <s v="BAPTISTE"/>
    <m/>
    <m/>
    <s v="M"/>
    <s v="carole.barraud@free.fr"/>
    <m/>
    <s v="06 30 35 15 27"/>
    <s v="6 chemin de la butte"/>
    <m/>
    <m/>
    <s v="57050"/>
    <s v="METZ"/>
    <s v="France"/>
    <d v="2015-05-23T00:00:00"/>
    <n v="9"/>
    <s v="Peltre (57), France"/>
    <m/>
    <s v="Oui"/>
    <s v="ADH-710097"/>
    <s v="Adhérent·e"/>
    <s v="Avec BRUNO BARRAUD"/>
    <s v="BARRAUD"/>
    <s v="BRUNO"/>
    <s v="brunobarraud57@gmail.com"/>
    <m/>
    <s v="06 11 87 76 91"/>
    <s v="BARRAUD"/>
    <s v="CAROLE"/>
    <s v="carole.barraud@free.fr"/>
    <x v="7"/>
    <x v="4"/>
    <s v="GRAND EST"/>
  </r>
  <r>
    <s v="BASTE LUGAND"/>
    <s v="CHARLOTTE"/>
    <m/>
    <m/>
    <s v="F"/>
    <s v="emmauelle.baste@gmail.com"/>
    <m/>
    <s v="06 21 15 91 56"/>
    <s v="401 rue des Chardonnet"/>
    <s v="hameau de Roncenay"/>
    <m/>
    <s v="10130"/>
    <s v="Auxon"/>
    <m/>
    <d v="2015-08-01T00:00:00"/>
    <n v="9"/>
    <s v="Troyes (10), France"/>
    <m/>
    <s v="Non"/>
    <s v="ADH-715923"/>
    <s v="Adhérent·e"/>
    <s v="Avec ISABELLE DUBOST"/>
    <s v="BASTE"/>
    <s v="EMMANUELLE"/>
    <s v="emmanuelle.bastte@gmail.com"/>
    <m/>
    <s v="06 21 15 91 56"/>
    <s v="LUGAND"/>
    <s v="FRANCIS"/>
    <s v="francis.lugand@gmail.com"/>
    <x v="7"/>
    <x v="7"/>
    <s v="GRAND EST"/>
  </r>
  <r>
    <s v="BEGUE"/>
    <s v="MARTIN"/>
    <m/>
    <m/>
    <s v="M"/>
    <m/>
    <m/>
    <m/>
    <s v="11 bis rue d'Etueffont"/>
    <m/>
    <m/>
    <s v="90170"/>
    <s v="ANJOUTEY"/>
    <m/>
    <d v="2017-04-28T00:00:00"/>
    <n v="7"/>
    <s v="Trévenans (90), France"/>
    <m/>
    <s v="Oui"/>
    <s v="ADH-714833"/>
    <s v="Adhérent·e"/>
    <s v="Avec BENJAMIN HINDSLEY"/>
    <s v="AUGIER"/>
    <s v="BRIGITTE"/>
    <s v="brigitte.augier@gmail.com"/>
    <m/>
    <s v="06 72 02 36 01"/>
    <s v="BEGUE"/>
    <s v="STEPHANE"/>
    <s v="beguestephane@gmail.com"/>
    <x v="7"/>
    <x v="10"/>
    <s v="GRAND EST"/>
  </r>
  <r>
    <s v="CLAUDIN"/>
    <s v="ETIENNE"/>
    <m/>
    <m/>
    <s v="M"/>
    <m/>
    <s v="03 89 26 43 54"/>
    <m/>
    <s v="19 rue du bois fleuri"/>
    <m/>
    <m/>
    <s v="68500"/>
    <s v="Guebwiller"/>
    <s v="France"/>
    <d v="2013-03-29T00:00:00"/>
    <n v="11"/>
    <s v="Colmar (68), France"/>
    <m/>
    <s v="Oui"/>
    <s v="ADH-710447"/>
    <s v="Adhérent·e"/>
    <s v="Avec IDEM TOUTES LES PESRSONNES ÉCLAIREURS"/>
    <s v="CLAUDIN"/>
    <s v="BENOIT"/>
    <s v="cbclaudin@free.fr"/>
    <s v="03 89 26 43 54"/>
    <s v="07 69 42 68 10"/>
    <s v="CLAUDIN"/>
    <s v="CELILE"/>
    <s v="cbclaudin@free.fr"/>
    <x v="7"/>
    <x v="0"/>
    <s v="GRAND EST"/>
  </r>
  <r>
    <s v="CLAUDIN"/>
    <s v="MAXIME"/>
    <m/>
    <m/>
    <s v="M"/>
    <m/>
    <s v="03 89 26 43 54"/>
    <s v="07 69 42 68 10"/>
    <s v="19 rue du bois fleuri"/>
    <m/>
    <m/>
    <s v="68500"/>
    <s v="guebwiller"/>
    <s v="France"/>
    <d v="2011-04-06T00:00:00"/>
    <n v="13"/>
    <s v="Colmar (68), France"/>
    <m/>
    <s v="Oui"/>
    <s v="ADH-710446"/>
    <s v="Adhérent·e"/>
    <s v="Seul·e"/>
    <s v="CLAUDIN"/>
    <s v="BENOIT"/>
    <s v="cbclaudin@free.fr"/>
    <s v="03 89 26 43 54"/>
    <s v="07 69 42 68 10"/>
    <s v="CLAUDIN"/>
    <s v="CELILE"/>
    <s v="cbclaudin@free.fr"/>
    <x v="7"/>
    <x v="0"/>
    <s v="GRAND EST"/>
  </r>
  <r>
    <s v="DAUPHIN"/>
    <s v="ANTOINE"/>
    <m/>
    <m/>
    <s v="M"/>
    <s v="MARIEANNE.DAUPHIN@YAHOO.FR"/>
    <m/>
    <m/>
    <s v="16 RUE HAUVY"/>
    <m/>
    <m/>
    <s v="10300"/>
    <s v="SAINTE SAVINE"/>
    <m/>
    <d v="2014-10-02T00:00:00"/>
    <n v="9"/>
    <s v="Troyes (10), France"/>
    <m/>
    <s v="Non"/>
    <s v="ADH-716795"/>
    <s v="Adhérent·e"/>
    <s v="Avec VOIR LISTE VOIR LISTE SUR FEUILLE PAPIER"/>
    <s v="MALCHROWICZ"/>
    <s v="MARIE ANNE"/>
    <s v="MARIEANNE.DAUPHIN@YAHOO.FR"/>
    <m/>
    <s v="06 75 57 31 18"/>
    <m/>
    <m/>
    <m/>
    <x v="7"/>
    <x v="8"/>
    <s v="GRAND EST"/>
  </r>
  <r>
    <s v="DE MELO"/>
    <s v="ALARIC"/>
    <m/>
    <m/>
    <s v="M"/>
    <m/>
    <m/>
    <m/>
    <s v="2 rue d'Anvers"/>
    <s v="5ème droit"/>
    <m/>
    <s v="68110"/>
    <s v="Illzach"/>
    <m/>
    <d v="2018-04-29T00:00:00"/>
    <n v="6"/>
    <s v="Strasbourg (67), France"/>
    <m/>
    <s v="Oui"/>
    <s v="ADH-718097"/>
    <s v="Adhérent·e"/>
    <s v="Avec GUYOT NICOLAS"/>
    <s v="LE LEUCH"/>
    <s v="GWÉNAËLLE"/>
    <s v="gleleuch@hotmail.fr"/>
    <m/>
    <s v="06 25 24 58 91"/>
    <m/>
    <m/>
    <m/>
    <x v="7"/>
    <x v="10"/>
    <s v="GRAND EST"/>
  </r>
  <r>
    <s v="ERNESTI"/>
    <s v="LIVIO"/>
    <m/>
    <m/>
    <s v="M"/>
    <s v="roberto.ernesti@wanadoo.fr"/>
    <s v="03 87 78 00 59"/>
    <s v="06 30 05 60 25"/>
    <s v="7, IMPASSE BILLOTTE"/>
    <m/>
    <m/>
    <s v="57070"/>
    <s v="ST JULIEN LES METZ"/>
    <s v="France"/>
    <d v="2007-07-19T00:00:00"/>
    <n v="17"/>
    <s v="Metz (57), France"/>
    <m/>
    <s v="Oui"/>
    <s v="ADH-571222"/>
    <s v="Adhérent·e"/>
    <s v="Avec D CLERGET"/>
    <s v="ERNESTI"/>
    <s v="ROBERTO"/>
    <s v="roberto.ernesti@wanadoo.fr"/>
    <s v="03 87 78 00 59"/>
    <s v="06 30 05 60 25"/>
    <s v="ERNESTI"/>
    <s v="VIRGINIE"/>
    <s v="clergetv@yahoo.fr"/>
    <x v="7"/>
    <x v="11"/>
    <s v="GRAND EST"/>
  </r>
  <r>
    <s v="FAUST REICH"/>
    <s v="ALIX"/>
    <m/>
    <m/>
    <s v="F"/>
    <s v="emmanuel.faust@unistra.fr"/>
    <m/>
    <m/>
    <s v="3 rue Moser"/>
    <m/>
    <m/>
    <s v="67300"/>
    <s v="Schiltigheim"/>
    <m/>
    <d v="2017-08-07T00:00:00"/>
    <n v="7"/>
    <m/>
    <m/>
    <s v="Oui"/>
    <s v="ADH-715195"/>
    <s v="Adhérent·e"/>
    <s v="Non"/>
    <s v="FAUST"/>
    <s v="EMMANUEL"/>
    <s v="emmanuel.faust@unistra.fr"/>
    <m/>
    <s v="06 22 42 86 26"/>
    <s v="REICH"/>
    <s v="MÉLANIE"/>
    <s v="mlaniereich@yahoo.fr"/>
    <x v="7"/>
    <x v="1"/>
    <s v="GRAND EST"/>
  </r>
  <r>
    <s v="GOURVES"/>
    <s v="KYLIAN"/>
    <m/>
    <m/>
    <s v="M"/>
    <s v="aurore.leger36@laposte.net"/>
    <m/>
    <s v="06 73 26 72 30"/>
    <s v="16 allée des platanes"/>
    <m/>
    <m/>
    <s v="57530"/>
    <s v="les etangs"/>
    <m/>
    <d v="2015-11-13T00:00:00"/>
    <n v="8"/>
    <s v="Compiègne (60), France"/>
    <m/>
    <s v="Oui"/>
    <s v="ADH-708847"/>
    <s v="Adhérent·e"/>
    <s v="Non"/>
    <s v="GOURVES"/>
    <s v="VINCENT"/>
    <s v="vincent.gourves@laposte.net"/>
    <s v="06 33 25 71 83"/>
    <m/>
    <s v="GOURVES"/>
    <s v="AURORE"/>
    <s v="aurore.leger36@laposte.net"/>
    <x v="7"/>
    <x v="6"/>
    <s v="GRAND EST"/>
  </r>
  <r>
    <s v="GUERRERA"/>
    <s v="MAXIME"/>
    <m/>
    <m/>
    <s v="M"/>
    <s v="gius.guerrera@gmail.com"/>
    <m/>
    <m/>
    <s v="15 Rue Marie Curie"/>
    <m/>
    <m/>
    <s v="68870"/>
    <s v="Bartenheim"/>
    <s v="France"/>
    <d v="2017-03-16T00:00:00"/>
    <n v="7"/>
    <s v="Saint-Louis"/>
    <m/>
    <s v="Oui"/>
    <s v="ADH-711349"/>
    <s v="Adhérent·e"/>
    <s v="Non"/>
    <s v="GUERRERA"/>
    <s v="GIUSEPPE"/>
    <s v="gius.guerrera@gmail.com"/>
    <m/>
    <s v="06 03 60 15 65"/>
    <s v="GUERRERA"/>
    <s v="MARGOT"/>
    <s v="margot6805@gmail.com"/>
    <x v="7"/>
    <x v="10"/>
    <s v="GRAND EST"/>
  </r>
  <r>
    <s v="HAMMAMI"/>
    <s v="NOHAM"/>
    <m/>
    <m/>
    <s v="M"/>
    <s v="melanyleclaire@gmail.com"/>
    <s v="07 87 87 67 36"/>
    <m/>
    <s v="1 rue Pierre Mendès France"/>
    <m/>
    <m/>
    <s v="57280"/>
    <s v="MAIZIERES-LES-METZ"/>
    <s v="France"/>
    <d v="2014-07-05T00:00:00"/>
    <n v="10"/>
    <s v="Peltre (57), France"/>
    <m/>
    <s v="Oui"/>
    <s v="ADH-717722"/>
    <s v="Adhérent·e"/>
    <s v="Avec MÉLANY HAMMAMI"/>
    <s v="HAMMAMI"/>
    <s v="MÉLANY"/>
    <s v="melanyleclaire@gmail.com"/>
    <m/>
    <s v="07 87 87 67 36"/>
    <s v="HAMMAMI"/>
    <s v="NASREDDINE"/>
    <s v="nashammami15@gmail.com"/>
    <x v="7"/>
    <x v="11"/>
    <s v="GRAND EST"/>
  </r>
  <r>
    <s v="HURPEAUX"/>
    <s v="MAXENCE"/>
    <m/>
    <m/>
    <s v="M"/>
    <s v="christellehurpeaux@gmail.com"/>
    <m/>
    <s v="07 77 30 03 72"/>
    <s v="11 rue Guy Mocquet"/>
    <s v="Appt 32"/>
    <m/>
    <s v="10120"/>
    <s v="St André les Vergers"/>
    <m/>
    <d v="2012-07-11T00:00:00"/>
    <n v="12"/>
    <s v="Troyes (10), France"/>
    <m/>
    <s v="Oui"/>
    <s v="ADH-717563"/>
    <s v="Adhérent·e"/>
    <s v="Non"/>
    <s v="HURPEAUX"/>
    <s v="CHRISTELLE"/>
    <s v="christellehurpeaux@gmail.com"/>
    <m/>
    <s v="07 77 30 03 72"/>
    <s v="HURPEAUX"/>
    <s v="CEDRIC"/>
    <s v="hurpeaux.cedric@gmail.com"/>
    <x v="7"/>
    <x v="2"/>
    <s v="GRAND EST"/>
  </r>
  <r>
    <s v="KASIDIS"/>
    <s v="OWEN"/>
    <m/>
    <m/>
    <s v="M"/>
    <s v="owen.kasidis@gmail.com"/>
    <m/>
    <s v="06 16 48 42 57"/>
    <s v="6 rue de l église"/>
    <m/>
    <m/>
    <s v="57640"/>
    <s v="Argancy"/>
    <s v="France"/>
    <d v="2007-11-30T00:00:00"/>
    <n v="16"/>
    <s v="Metz (57), France"/>
    <m/>
    <s v="Oui"/>
    <s v="ADH-593478"/>
    <s v="Adhérent·e"/>
    <s v="Seul·e"/>
    <s v="HENRY"/>
    <s v="ANNE"/>
    <s v="oceak@sfr.fr"/>
    <m/>
    <s v="06 26 33 23 39"/>
    <s v="KASIDIS"/>
    <s v="EMMANUEL"/>
    <s v="nunuths@gmail.com"/>
    <x v="7"/>
    <x v="11"/>
    <s v="GRAND EST"/>
  </r>
  <r>
    <s v="KASIDIS"/>
    <s v="SOHAM"/>
    <m/>
    <m/>
    <s v="M"/>
    <s v="oceak@sfr.fr"/>
    <m/>
    <s v="06 26 33 23 39"/>
    <s v="6 rue de l’église"/>
    <m/>
    <m/>
    <s v="57640"/>
    <s v="Argancy"/>
    <s v="France"/>
    <d v="2012-11-02T00:00:00"/>
    <n v="11"/>
    <s v="Metz (57), France"/>
    <m/>
    <s v="Oui"/>
    <s v="ADH-606935"/>
    <s v="Adhérent·e"/>
    <s v="Non"/>
    <s v="HENRY"/>
    <s v="ANNE"/>
    <s v="oceak@sfr.fr"/>
    <m/>
    <s v="06 26 33 23 39"/>
    <s v="KASIDIS"/>
    <s v="EMMANUEL"/>
    <s v="nunuths@gmail.com"/>
    <x v="7"/>
    <x v="11"/>
    <s v="GRAND EST"/>
  </r>
  <r>
    <s v="KOLLY TEXIER"/>
    <s v="JULES"/>
    <m/>
    <m/>
    <s v="M"/>
    <s v="gkolly8@hotmail.fr"/>
    <m/>
    <s v="07 78 34 15 65"/>
    <s v="25 rue de la Pavée"/>
    <m/>
    <m/>
    <s v="10350"/>
    <s v="Le Pavillon Ste Julie"/>
    <m/>
    <d v="2014-06-04T00:00:00"/>
    <n v="10"/>
    <s v="Troyes (10), France"/>
    <m/>
    <s v="Oui"/>
    <s v="ADH-712204"/>
    <s v="Adhérent·e"/>
    <s v="Non"/>
    <s v="KOLLY"/>
    <s v="GAELLE"/>
    <s v="gkolly8@hotmail.fr"/>
    <m/>
    <s v="07 78 34 15 65"/>
    <s v="TEXIER"/>
    <s v="JEAN PHILIPPE"/>
    <s v="jtexier@gmail.com"/>
    <x v="7"/>
    <x v="8"/>
    <s v="GRAND EST"/>
  </r>
  <r>
    <s v="LEFEVRE"/>
    <s v="ADAM"/>
    <m/>
    <m/>
    <s v="M"/>
    <s v="malika.zbi@hotmail.fr"/>
    <m/>
    <m/>
    <s v="35 rue des Pâquerettes"/>
    <m/>
    <m/>
    <s v="68540"/>
    <s v="Bollwiller"/>
    <s v="France"/>
    <d v="2016-07-17T00:00:00"/>
    <n v="8"/>
    <s v="Colmar (68), France"/>
    <m/>
    <s v="Oui"/>
    <s v="ADH-715025"/>
    <s v="Adhérent·e"/>
    <s v="Non"/>
    <s v="LEFEVRE"/>
    <s v="MALIKA"/>
    <s v="malika.zbi@hotmail.fr"/>
    <m/>
    <s v="07 50 92 72 99"/>
    <s v="LEFEVRE"/>
    <s v="JOHNNY"/>
    <s v="nepasutiliser3@gmail.com"/>
    <x v="7"/>
    <x v="10"/>
    <s v="GRAND EST"/>
  </r>
  <r>
    <s v="MIRAIL"/>
    <s v="PLUME"/>
    <m/>
    <m/>
    <s v="F"/>
    <m/>
    <m/>
    <m/>
    <s v="24 rue principale"/>
    <m/>
    <m/>
    <s v="68230"/>
    <s v="Zimmerbach"/>
    <s v="France"/>
    <d v="2015-04-13T00:00:00"/>
    <n v="9"/>
    <s v="Paris 12ème (75), France"/>
    <m/>
    <s v="Oui"/>
    <s v="ADH-705866"/>
    <s v="Adhérent·e"/>
    <s v="Avec ALEXANDRE MATHIEU"/>
    <s v="MEYNIER"/>
    <s v="JOHANA"/>
    <s v="sociolojo@gmail.com"/>
    <m/>
    <s v="06 63 85 48 92"/>
    <s v="MIRAIL"/>
    <s v="JEROME"/>
    <s v="initram1@gmail.com"/>
    <x v="7"/>
    <x v="10"/>
    <s v="GRAND EST"/>
  </r>
  <r>
    <s v="POESY"/>
    <s v="LISE"/>
    <m/>
    <m/>
    <s v="F"/>
    <m/>
    <m/>
    <m/>
    <s v="5 rue de Hackenberg"/>
    <s v="Sainte marguerite"/>
    <m/>
    <s v="57920"/>
    <s v="Monneren"/>
    <s v="France"/>
    <d v="2015-07-05T00:00:00"/>
    <n v="9"/>
    <s v="Thionville (57), France"/>
    <s v="Ecolière"/>
    <s v="Oui"/>
    <s v="ADH-700017"/>
    <s v="Adhérent·e"/>
    <s v="Avec GISÈLE BIDON"/>
    <s v="POESY"/>
    <s v="EMILIE"/>
    <s v="emilie.bidon@hotmail.fr"/>
    <s v="03 82 50 22 22"/>
    <s v="06 34 59 63 44"/>
    <s v="POESY"/>
    <s v="JULIEN"/>
    <s v="julienpoesy@yahoo.fr"/>
    <x v="7"/>
    <x v="11"/>
    <s v="GRAND EST"/>
  </r>
  <r>
    <s v="POESY"/>
    <s v="MANON"/>
    <m/>
    <m/>
    <s v="F"/>
    <m/>
    <m/>
    <m/>
    <s v="5 rue du hackenberg"/>
    <s v="Sainte marguerite"/>
    <m/>
    <s v="57920"/>
    <s v="Monneren"/>
    <s v="France"/>
    <d v="2015-07-05T00:00:00"/>
    <n v="9"/>
    <s v="Thionville (57), France"/>
    <s v="Ecolière"/>
    <s v="Oui"/>
    <s v="ADH-700018"/>
    <s v="Adhérent·e"/>
    <s v="Avec GISÈLE/ JEAN BERNARD BIDON"/>
    <s v="POESY"/>
    <s v="EMILIE"/>
    <s v="emilie.bidon@hotmail.fr"/>
    <s v="03 82 50 22 22"/>
    <s v="+352 621 189 717"/>
    <s v="POESY"/>
    <s v="JULIEN"/>
    <s v="julienpoesy@yahoo.fr"/>
    <x v="7"/>
    <x v="11"/>
    <s v="GRAND EST"/>
  </r>
  <r>
    <s v="WULLENS"/>
    <s v="ALEXIS"/>
    <m/>
    <m/>
    <s v="M"/>
    <m/>
    <s v="03 84 46 26 10"/>
    <s v="06 85 20 22 59"/>
    <s v="22 rue du berceau"/>
    <m/>
    <m/>
    <s v="90400"/>
    <s v="Meroux-Moval"/>
    <s v="France"/>
    <d v="2011-05-14T00:00:00"/>
    <n v="13"/>
    <s v="Belfort (90), France"/>
    <m/>
    <s v="Oui"/>
    <s v="ADH-709272"/>
    <s v="Adhérent·e"/>
    <s v="Avec JEAN-MARC WULLENS"/>
    <s v="WULLENS"/>
    <s v="JEAN-MARC"/>
    <s v="jwullens@hotmail.com"/>
    <s v="03 84 46 26 10"/>
    <s v="06 85 20 22 59"/>
    <s v="WULLENS"/>
    <s v="SOPHET"/>
    <s v="jwullens@hotmail.com"/>
    <x v="7"/>
    <x v="10"/>
    <s v="GRAND EST"/>
  </r>
  <r>
    <s v="BAUER"/>
    <s v="JUDITH"/>
    <m/>
    <m/>
    <s v="F"/>
    <s v="isacollin78@gmail.com"/>
    <m/>
    <s v="06 63 15 76 33"/>
    <s v="78 rue robert Schumann"/>
    <m/>
    <m/>
    <s v="57320"/>
    <s v="Freistroff"/>
    <s v="France"/>
    <d v="2014-08-20T00:00:00"/>
    <n v="10"/>
    <s v="Peltre (57), France"/>
    <m/>
    <s v="Oui"/>
    <s v="ADH-615002"/>
    <s v="Adhérent·e"/>
    <s v="Avec DOMINIQUE BAUER"/>
    <s v="COLLIN"/>
    <s v="ISABELLE"/>
    <s v="isacollin78@gmail.com"/>
    <m/>
    <s v="06 63 15 76 33"/>
    <s v="BAUER"/>
    <s v="DOMINIQUE"/>
    <s v="dominique.bauer2@wanadoo.fr"/>
    <x v="8"/>
    <x v="11"/>
    <s v="GRAND EST"/>
  </r>
  <r>
    <s v="CAPON"/>
    <s v="ZOÉ"/>
    <m/>
    <m/>
    <s v="F"/>
    <m/>
    <m/>
    <m/>
    <s v="24 rue principale"/>
    <m/>
    <m/>
    <s v="68210"/>
    <s v="FALKWILLER"/>
    <m/>
    <d v="2012-12-06T00:00:00"/>
    <n v="11"/>
    <s v="Mulhouse (68), France"/>
    <m/>
    <s v="Oui"/>
    <s v="ADH-715173"/>
    <s v="Adhérent·e"/>
    <s v="Avec ALEXANDRA CAPON"/>
    <s v="CAPON"/>
    <s v="ALEXANDRA"/>
    <s v="caponalexandra@gmail.com"/>
    <m/>
    <s v="06 72 40 21 90"/>
    <s v="CAPON"/>
    <s v="NICOLAS"/>
    <s v="nicolas.capon.pro@gmail.com"/>
    <x v="8"/>
    <x v="10"/>
    <s v="GRAND EST"/>
  </r>
  <r>
    <s v="CHAMPAGNE"/>
    <s v="MAXIME"/>
    <m/>
    <m/>
    <s v="M"/>
    <s v="stephanie.gabel@hotmail.fr"/>
    <s v="06 64 20 73 19"/>
    <m/>
    <s v="7 place de la baronne"/>
    <m/>
    <m/>
    <s v="57530"/>
    <s v="ars laquenexy"/>
    <s v="France"/>
    <d v="2016-06-19T00:00:00"/>
    <n v="8"/>
    <s v="Peltre (57), France"/>
    <m/>
    <s v="Oui"/>
    <s v="ADH-708846"/>
    <s v="Adhérent·e"/>
    <s v="Non"/>
    <s v="GABEL"/>
    <s v="STEPHANIE"/>
    <s v="stephanie.gabel@hotmail.fr"/>
    <s v="06 64 20 73 19"/>
    <m/>
    <s v="CHAMPAGNE"/>
    <s v="GUILLAUME"/>
    <s v="guillaume.champagne@free.fr"/>
    <x v="8"/>
    <x v="6"/>
    <s v="GRAND EST"/>
  </r>
  <r>
    <s v="HERMANN"/>
    <s v="KIM"/>
    <m/>
    <m/>
    <s v="M"/>
    <s v="sev.terrana@gmail.com"/>
    <m/>
    <s v="06 23 47 26 45"/>
    <s v="3 RUE NAPOLEON GOBERT"/>
    <m/>
    <m/>
    <s v="57070"/>
    <s v="METZ"/>
    <s v="France"/>
    <d v="2012-06-06T00:00:00"/>
    <n v="12"/>
    <s v="Metz (57), France"/>
    <m/>
    <s v="Oui"/>
    <s v="ADH-616654"/>
    <s v="Adhérent·e"/>
    <s v="Avec SEVERINE HERMANN"/>
    <s v="TERRANA"/>
    <s v="SEVERINE"/>
    <s v="sev.terrana@gmail.com"/>
    <m/>
    <s v="06 23 47 26 45"/>
    <s v="HERMANN"/>
    <s v="LAURENT"/>
    <m/>
    <x v="8"/>
    <x v="4"/>
    <s v="GRAND EST"/>
  </r>
  <r>
    <s v="HINDSLEY"/>
    <s v="JAMIE-SUE"/>
    <m/>
    <m/>
    <s v="F"/>
    <s v="Benhindsley@hotmail.com"/>
    <m/>
    <s v="06 62 70 74 60"/>
    <s v="62 rue principale"/>
    <m/>
    <m/>
    <s v="90110"/>
    <s v="Saint germain le chatelet"/>
    <s v="France"/>
    <d v="2018-02-05T00:00:00"/>
    <n v="6"/>
    <s v="Sevenans (90), France"/>
    <m/>
    <s v="Oui"/>
    <s v="ADH-717362"/>
    <s v="Adhérent·e"/>
    <s v="Seul·e"/>
    <s v="HINDSLEY"/>
    <s v="BENJAMIN"/>
    <s v="benhindsley@hotmail.com"/>
    <m/>
    <s v="06 62 70 74 60"/>
    <s v="PEREIRA"/>
    <s v="EMMA"/>
    <m/>
    <x v="8"/>
    <x v="10"/>
    <s v="GRAND EST"/>
  </r>
  <r>
    <s v="HINDSLEY"/>
    <s v="LUCIE"/>
    <m/>
    <m/>
    <s v="F"/>
    <m/>
    <m/>
    <m/>
    <s v="62 rue Principale"/>
    <m/>
    <m/>
    <s v="90110"/>
    <s v="Saint Germain le Chatelet"/>
    <s v="France"/>
    <d v="2016-07-21T00:00:00"/>
    <n v="8"/>
    <m/>
    <m/>
    <s v="Oui"/>
    <s v="ADH-708554"/>
    <s v="Adhérent·e"/>
    <s v="Non"/>
    <s v="HINDSLEY"/>
    <s v="BENJAMIN"/>
    <s v="benhindsley@hotmail.com"/>
    <m/>
    <s v="06 62 70 74 60"/>
    <s v="PEREIRA"/>
    <s v="EMMA"/>
    <m/>
    <x v="8"/>
    <x v="10"/>
    <s v="GRAND EST"/>
  </r>
  <r>
    <s v="JACQUES"/>
    <s v="ANABELLE"/>
    <m/>
    <m/>
    <s v="F"/>
    <s v="contact@giteenville.com"/>
    <m/>
    <s v="06 74 28 50 35"/>
    <s v="10 CHEMIN DES VIGNERONS"/>
    <m/>
    <m/>
    <s v="57000"/>
    <s v="METZ"/>
    <s v="France"/>
    <d v="2014-03-24T00:00:00"/>
    <n v="10"/>
    <s v="Peltre (57), France"/>
    <m/>
    <s v="Oui"/>
    <s v="ADH-615166"/>
    <s v="Adhérent·e"/>
    <s v="Non"/>
    <s v="JACQUES"/>
    <s v="MATHIEU"/>
    <s v="contact@giteenville.com"/>
    <m/>
    <s v="06 84 16 21 64"/>
    <s v="JACQUES"/>
    <s v="HELOISE"/>
    <s v="contact@giteenville.com"/>
    <x v="8"/>
    <x v="6"/>
    <s v="GRAND EST"/>
  </r>
  <r>
    <s v="JACQUES"/>
    <s v="CAROLINE"/>
    <m/>
    <m/>
    <s v="F"/>
    <m/>
    <m/>
    <m/>
    <s v="10 chemin des Vignerons"/>
    <m/>
    <m/>
    <s v="57070"/>
    <s v="Metz"/>
    <m/>
    <d v="2017-08-23T00:00:00"/>
    <n v="7"/>
    <s v="Peltre (57), France"/>
    <m/>
    <s v="Oui"/>
    <s v="ADH-714935"/>
    <s v="Adhérent·e"/>
    <s v="Non"/>
    <s v="JACQUES"/>
    <s v="HELOISE"/>
    <s v="contact@giteenville.com"/>
    <m/>
    <s v="06 74 28 50 35"/>
    <s v="JACQUES"/>
    <s v="MATHIEU"/>
    <s v="contact@giteenville.com"/>
    <x v="8"/>
    <x v="6"/>
    <s v="GRAND EST"/>
  </r>
  <r>
    <s v="KOLBOWICZ"/>
    <s v="PAUL"/>
    <m/>
    <m/>
    <s v="M"/>
    <s v="nicolaskolbo@yahoo.fr"/>
    <m/>
    <s v="06 79 15 57 90"/>
    <s v="5 impasse des grands champs"/>
    <m/>
    <m/>
    <s v="10150"/>
    <s v="Feuges"/>
    <m/>
    <d v="2016-09-21T00:00:00"/>
    <n v="7"/>
    <s v="Troyes (10), France"/>
    <m/>
    <s v="Non"/>
    <s v="ADH-715930"/>
    <s v="Adhérent·e"/>
    <s v="Avec CECILE MAGET"/>
    <s v="KOBOWICZ"/>
    <s v="NICOLAS"/>
    <s v="nicolaskolbo@yahoo.fr"/>
    <m/>
    <s v="06 79 15 57 90"/>
    <s v="MAGET"/>
    <s v="CECILE"/>
    <s v="cecile_mgt@yahoo.fr"/>
    <x v="8"/>
    <x v="2"/>
    <s v="GRAND EST"/>
  </r>
  <r>
    <s v="LALLEMAND CHEKATI"/>
    <s v="ELIAS"/>
    <m/>
    <m/>
    <s v="M"/>
    <s v="plal57@free.fr"/>
    <m/>
    <s v="07 83 33 35 05"/>
    <s v="4 rue Mozart"/>
    <m/>
    <m/>
    <s v="57000"/>
    <s v="Metz"/>
    <s v="France"/>
    <d v="2012-07-13T00:00:00"/>
    <n v="12"/>
    <s v="Metz (57), France"/>
    <m/>
    <s v="Oui"/>
    <s v="ADH-702868"/>
    <s v="Adhérent·e"/>
    <s v="Non"/>
    <s v="LALLEMAND"/>
    <s v="PHILIPPE"/>
    <s v="plal57@free.fr"/>
    <s v="07 83 33 35 05"/>
    <m/>
    <s v="CHEKATI"/>
    <s v="LILA"/>
    <s v="chekati@hotmail.com"/>
    <x v="8"/>
    <x v="6"/>
    <s v="GRAND EST"/>
  </r>
  <r>
    <s v="PARISOT"/>
    <s v="HANAE"/>
    <m/>
    <m/>
    <s v="M"/>
    <m/>
    <m/>
    <m/>
    <s v="32C RUE DE LA GARE"/>
    <m/>
    <m/>
    <s v="57155"/>
    <s v="MARLY"/>
    <s v="France"/>
    <d v="2010-04-09T00:00:00"/>
    <n v="14"/>
    <s v="Nancy (54), France"/>
    <m/>
    <s v="Oui"/>
    <s v="ADH-606959"/>
    <s v="Adhérent·e"/>
    <s v="Non"/>
    <s v="PARISOT"/>
    <s v="OLIVIER"/>
    <s v="olivier.parisot@grandest.fr"/>
    <m/>
    <s v="06 81 89 73 22"/>
    <s v="LEGALL"/>
    <s v="GAELLE"/>
    <s v="legall.gaelle@wanadoo.fr"/>
    <x v="8"/>
    <x v="5"/>
    <s v="GRAND EST"/>
  </r>
  <r>
    <s v="PUJOS"/>
    <s v="ROMAIN"/>
    <m/>
    <m/>
    <s v="M"/>
    <m/>
    <m/>
    <m/>
    <s v="33 RUE DE LA MARNE"/>
    <m/>
    <m/>
    <s v="57300"/>
    <s v="HAGONDANGE"/>
    <s v="France"/>
    <d v="2012-07-03T00:00:00"/>
    <n v="12"/>
    <s v="Metz (57), France"/>
    <m/>
    <s v="Oui"/>
    <s v="ADH-608012"/>
    <s v="Adhérent·e"/>
    <s v="Avec DANILA RISTOCK"/>
    <s v="PUJOS"/>
    <s v="ANTOINE"/>
    <s v="antoine.pujos@gmail.com"/>
    <m/>
    <s v="07 89 90 84 46"/>
    <s v="PUJOS"/>
    <s v="LAURE"/>
    <s v="laure.pujos@gmail.com"/>
    <x v="8"/>
    <x v="5"/>
    <s v="GRAND EST"/>
  </r>
  <r>
    <s v="ROBERT"/>
    <s v="CAMILLE"/>
    <m/>
    <m/>
    <s v="F"/>
    <s v="catherine_cavion@hotmail.com"/>
    <m/>
    <s v="06 14 66 83 29"/>
    <s v="69 rue de la Cheneau"/>
    <m/>
    <m/>
    <s v="57070"/>
    <s v="Metz"/>
    <s v="France"/>
    <d v="2015-02-07T00:00:00"/>
    <n v="9"/>
    <s v="Metz (57), France"/>
    <m/>
    <s v="Oui"/>
    <s v="ADH-702866"/>
    <s v="Adhérent·e"/>
    <s v="Avec HENRION NOELLE CAVION FANNY"/>
    <s v="ROBERT"/>
    <s v="CATHERINE"/>
    <s v="catherine_cavion@hotmail.com"/>
    <m/>
    <s v="06 14 66 83 29"/>
    <m/>
    <m/>
    <m/>
    <x v="8"/>
    <x v="6"/>
    <s v="GRAND EST"/>
  </r>
  <r>
    <s v="SINDT"/>
    <s v="GAUTIER"/>
    <m/>
    <m/>
    <s v="M"/>
    <s v="sindtjr@hotmail.com"/>
    <m/>
    <m/>
    <s v="7, rue Joseph Ritter"/>
    <m/>
    <m/>
    <s v="57600"/>
    <s v="FORBACH"/>
    <m/>
    <d v="2015-04-29T00:00:00"/>
    <n v="9"/>
    <m/>
    <m/>
    <s v="Oui"/>
    <s v="ADH-700897"/>
    <s v="Adhérent·e"/>
    <s v="Non"/>
    <s v="SINDT"/>
    <s v="JEAN-RAPHAEL"/>
    <s v="sindtjr@hotmail.com"/>
    <m/>
    <s v="06 03 16 15 40"/>
    <s v="SINDT-FOLLINI"/>
    <s v="ARMELLE"/>
    <s v="armelle.sindt@gmail.com"/>
    <x v="8"/>
    <x v="9"/>
    <s v="GRAND EST"/>
  </r>
  <r>
    <s v="TOURY"/>
    <s v="ALBERIC"/>
    <m/>
    <m/>
    <s v="M"/>
    <s v="alberic.toury@gmail.com"/>
    <s v="03 25 45 11 72"/>
    <s v="07 49 50 18 19"/>
    <s v="12 RUE DU CHARMAT"/>
    <m/>
    <m/>
    <s v="10190"/>
    <s v="PRUGNY"/>
    <s v="France"/>
    <d v="2008-01-27T00:00:00"/>
    <n v="16"/>
    <s v="Paris 12ème (75), France"/>
    <m/>
    <s v="Non"/>
    <s v="ADH-605770"/>
    <s v="Adhérent·e"/>
    <s v="Seul·e"/>
    <s v="TOURY"/>
    <s v="TIMOTHEE"/>
    <s v="tourytim@gmail.com"/>
    <s v="03 25 45 11 72"/>
    <s v="06 87 63 32 32"/>
    <s v="TOURY"/>
    <s v="AURELIE"/>
    <s v="touryaurelie@gmail.com"/>
    <x v="8"/>
    <x v="7"/>
    <s v="GRAND EST"/>
  </r>
  <r>
    <s v="TOURY"/>
    <s v="MATHILDE ELEONORE"/>
    <m/>
    <m/>
    <s v="F"/>
    <s v="mathildee.toury@gmail.com"/>
    <s v="03 25 45 11 72"/>
    <m/>
    <s v="12 rue du charmat"/>
    <m/>
    <m/>
    <s v="10190"/>
    <s v="prugny"/>
    <m/>
    <d v="2010-06-29T00:00:00"/>
    <n v="14"/>
    <s v="Prugny (10), France"/>
    <m/>
    <s v="Non"/>
    <s v="ADH-704030"/>
    <s v="Adhérent·e"/>
    <s v="Seul·e"/>
    <s v="TOURY"/>
    <s v="AURELIE"/>
    <s v="touryaurelie@gmail.com"/>
    <s v="03 25 45 11 72"/>
    <s v="06 87 63 32 32"/>
    <s v="TOURY"/>
    <s v="TIMOTHEE"/>
    <s v="tourytim@gmail.com"/>
    <x v="8"/>
    <x v="7"/>
    <s v="GRAND EST"/>
  </r>
  <r>
    <s v="DEVAUX"/>
    <s v="PAUL"/>
    <m/>
    <m/>
    <s v="M"/>
    <m/>
    <m/>
    <m/>
    <s v="16 CHEMIN DE LA BUTTE"/>
    <m/>
    <m/>
    <s v="57000"/>
    <s v="METZ"/>
    <s v="France"/>
    <d v="2012-01-15T00:00:00"/>
    <n v="12"/>
    <s v="Metz (57), France"/>
    <m/>
    <s v="Oui"/>
    <s v="ADH-612714"/>
    <s v="Adhérent·e"/>
    <s v="Non"/>
    <s v="DEVAUX"/>
    <s v="MICHEL"/>
    <s v="michel-aude@hotmail.fr"/>
    <m/>
    <s v="06 15 44 80 46"/>
    <m/>
    <m/>
    <m/>
    <x v="9"/>
    <x v="5"/>
    <s v="GRAND EST"/>
  </r>
  <r>
    <s v="JACQUEMIN"/>
    <s v="JULIETTE"/>
    <m/>
    <m/>
    <s v="F"/>
    <m/>
    <m/>
    <m/>
    <s v="15 allée des maraichers"/>
    <m/>
    <m/>
    <s v="54000"/>
    <s v="NANCY"/>
    <m/>
    <d v="2015-01-04T00:00:00"/>
    <n v="9"/>
    <s v="Nancy (54), France"/>
    <m/>
    <s v="Oui"/>
    <s v="ADH-704506"/>
    <s v="Adhérent·e"/>
    <s v="Seul·e"/>
    <s v="JACQUEMIN"/>
    <s v="JULIEN"/>
    <s v="julien.jacquemin54@gmail.com"/>
    <s v="06 78 98 69 71"/>
    <s v="06 78 98 69 71"/>
    <s v="COLLIN"/>
    <s v="FANNY"/>
    <s v="fannycollin535@hotmail.com"/>
    <x v="9"/>
    <x v="12"/>
    <s v="GRAND EST"/>
  </r>
  <r>
    <s v="JACQUEMIN"/>
    <s v="TOM"/>
    <m/>
    <m/>
    <s v="M"/>
    <m/>
    <m/>
    <m/>
    <s v="15 allée des maraichers"/>
    <m/>
    <m/>
    <s v="54000"/>
    <s v="nancy"/>
    <s v="France"/>
    <d v="2017-03-26T00:00:00"/>
    <n v="7"/>
    <s v="Nancy (54), France"/>
    <m/>
    <s v="Oui"/>
    <s v="ADH-716739"/>
    <s v="Adhérent·e"/>
    <s v="Seul·e"/>
    <s v="COLLIN"/>
    <s v="FANNY"/>
    <s v="fannycollin535@hotmail.com"/>
    <m/>
    <s v="06 78 96 72 44"/>
    <m/>
    <m/>
    <m/>
    <x v="9"/>
    <x v="12"/>
    <s v="GRAND EST"/>
  </r>
  <r>
    <s v="LE NAOUR"/>
    <s v="SOLENN"/>
    <m/>
    <m/>
    <s v="F"/>
    <s v="f.burgard@gmail.com"/>
    <m/>
    <s v="06 72 41 75 81"/>
    <s v="70 avenue de Nieppe"/>
    <m/>
    <m/>
    <s v="57970"/>
    <s v="BASSE HAM"/>
    <m/>
    <d v="2015-04-08T00:00:00"/>
    <n v="9"/>
    <s v="Thionville (57), France"/>
    <m/>
    <s v="Oui"/>
    <s v="ADH-704496"/>
    <s v="Adhérent·e"/>
    <s v="Non"/>
    <s v="LE NAOUR"/>
    <s v="KARL"/>
    <m/>
    <m/>
    <m/>
    <s v="BURGARD"/>
    <s v="FLORE"/>
    <s v="f.burgard@gmail.com"/>
    <x v="9"/>
    <x v="11"/>
    <s v="GRAND EST"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0"/>
    <x v="13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n v="2025"/>
    <n v="95"/>
    <m/>
    <m/>
    <n v="-70"/>
    <m/>
    <x v="0"/>
    <x v="0"/>
    <x v="0"/>
    <x v="0"/>
    <m/>
    <x v="0"/>
    <s v="Cotisations autres associations"/>
    <n v="0"/>
    <n v="70"/>
    <s v=""/>
    <s v="Cotisations autres associations"/>
    <e v="#N/A"/>
  </r>
  <r>
    <n v="2025"/>
    <m/>
    <m/>
    <m/>
    <n v="-350"/>
    <m/>
    <x v="1"/>
    <x v="0"/>
    <x v="1"/>
    <x v="1"/>
    <m/>
    <x v="0"/>
    <s v="Cotisations payées au siège"/>
    <n v="0"/>
    <n v="350"/>
    <e v="#N/A"/>
    <s v="Cotisations payées au siège"/>
    <e v="#N/A"/>
  </r>
  <r>
    <n v="2025"/>
    <m/>
    <m/>
    <m/>
    <n v="350"/>
    <m/>
    <x v="1"/>
    <x v="0"/>
    <x v="1"/>
    <x v="1"/>
    <m/>
    <x v="0"/>
    <s v="Cotisations des adhérents"/>
    <n v="350"/>
    <n v="0"/>
    <e v="#N/A"/>
    <e v="#N/A"/>
    <s v="Cotisations des adhérents"/>
  </r>
  <r>
    <n v="2025"/>
    <m/>
    <m/>
    <m/>
    <n v="-3000"/>
    <m/>
    <x v="2"/>
    <x v="1"/>
    <x v="2"/>
    <x v="2"/>
    <m/>
    <x v="0"/>
    <s v="Locations terrains et centres EEDF"/>
    <n v="0"/>
    <n v="3000"/>
    <e v="#N/A"/>
    <s v="Locations terrains et centres EEDF"/>
    <e v="#N/A"/>
  </r>
  <r>
    <n v="2025"/>
    <m/>
    <m/>
    <m/>
    <n v="-1500"/>
    <m/>
    <x v="3"/>
    <x v="1"/>
    <x v="2"/>
    <x v="2"/>
    <s v="10€/j sur 6 j à 25 pers"/>
    <x v="0"/>
    <s v="Achats denrées alimentaires"/>
    <n v="0"/>
    <n v="1500"/>
    <e v="#N/A"/>
    <s v="Achats denrées alimentaires"/>
    <e v="#N/A"/>
  </r>
  <r>
    <n v="2025"/>
    <m/>
    <m/>
    <m/>
    <n v="-1500"/>
    <m/>
    <x v="4"/>
    <x v="1"/>
    <x v="2"/>
    <x v="2"/>
    <s v="15 stagiaires concernés"/>
    <x v="0"/>
    <s v="Aides versées aux structures EEDF"/>
    <n v="0"/>
    <n v="1500"/>
    <e v="#N/A"/>
    <s v="Aides versées aux structures EEDF"/>
    <e v="#N/A"/>
  </r>
  <r>
    <n v="2025"/>
    <m/>
    <m/>
    <m/>
    <n v="-500"/>
    <m/>
    <x v="5"/>
    <x v="1"/>
    <x v="2"/>
    <x v="2"/>
    <m/>
    <x v="0"/>
    <s v="Fournitures éducatives et pédagogiques"/>
    <n v="0"/>
    <n v="500"/>
    <s v=""/>
    <s v="Fournitures éducatives et pédagogiques"/>
    <e v="#N/A"/>
  </r>
  <r>
    <n v="2025"/>
    <m/>
    <m/>
    <m/>
    <n v="6650"/>
    <m/>
    <x v="6"/>
    <x v="1"/>
    <x v="2"/>
    <x v="2"/>
    <s v="13 stagiaires"/>
    <x v="0"/>
    <s v="Participation aux camps, activités"/>
    <n v="6650"/>
    <n v="0"/>
    <e v="#N/A"/>
    <e v="#N/A"/>
    <s v="Participation aux camps, activités"/>
  </r>
  <r>
    <n v="2025"/>
    <n v="114"/>
    <m/>
    <m/>
    <n v="-3000"/>
    <m/>
    <x v="2"/>
    <x v="1"/>
    <x v="2"/>
    <x v="3"/>
    <m/>
    <x v="0"/>
    <s v="Locations terrains et centres EEDF"/>
    <n v="0"/>
    <n v="3000"/>
    <s v="Formations BAFA-BAFD"/>
    <s v="Locations terrains et centres EEDF"/>
    <e v="#N/A"/>
  </r>
  <r>
    <n v="2025"/>
    <n v="90"/>
    <m/>
    <m/>
    <n v="-1500"/>
    <m/>
    <x v="3"/>
    <x v="1"/>
    <x v="2"/>
    <x v="3"/>
    <s v="10€/j sur 6 j à 25 pers"/>
    <x v="0"/>
    <s v="Achats denrées alimentaires"/>
    <n v="0"/>
    <n v="1500"/>
    <s v="Formations BAFA-BAFD"/>
    <s v="Achats denrées alimentaires"/>
    <e v="#N/A"/>
  </r>
  <r>
    <n v="2025"/>
    <n v="103"/>
    <m/>
    <m/>
    <n v="-1500"/>
    <m/>
    <x v="4"/>
    <x v="1"/>
    <x v="2"/>
    <x v="3"/>
    <s v="15 stagiaires concernés"/>
    <x v="0"/>
    <s v="Aides versées aux structures EEDF"/>
    <n v="0"/>
    <n v="1500"/>
    <s v="Formations BAFA-BAFD"/>
    <s v="Aides versées aux structures EEDF"/>
    <e v="#N/A"/>
  </r>
  <r>
    <n v="2025"/>
    <n v="89"/>
    <m/>
    <m/>
    <n v="-500"/>
    <m/>
    <x v="5"/>
    <x v="1"/>
    <x v="2"/>
    <x v="3"/>
    <m/>
    <x v="0"/>
    <s v="Fournitures éducatives et pédagogiques"/>
    <n v="0"/>
    <n v="500"/>
    <s v="Formations BAFA-BAFD"/>
    <s v="Fournitures éducatives et pédagogiques"/>
    <e v="#N/A"/>
  </r>
  <r>
    <n v="2025"/>
    <n v="23"/>
    <m/>
    <m/>
    <n v="7490"/>
    <m/>
    <x v="6"/>
    <x v="1"/>
    <x v="2"/>
    <x v="3"/>
    <s v="14 stagiaires"/>
    <x v="0"/>
    <s v="Participation aux camps, activités"/>
    <n v="7490"/>
    <n v="0"/>
    <s v="Formations BAFA-BAFD"/>
    <e v="#N/A"/>
    <s v="Participation aux camps, activités"/>
  </r>
  <r>
    <n v="2025"/>
    <n v="30"/>
    <m/>
    <m/>
    <n v="-63.6"/>
    <m/>
    <x v="7"/>
    <x v="0"/>
    <x v="0"/>
    <x v="4"/>
    <m/>
    <x v="0"/>
    <s v="Services bancaires"/>
    <n v="0"/>
    <n v="63.6"/>
    <s v=""/>
    <s v="Services bancaires"/>
    <e v="#N/A"/>
  </r>
  <r>
    <n v="2025"/>
    <n v="27"/>
    <m/>
    <m/>
    <n v="-733.55"/>
    <m/>
    <x v="8"/>
    <x v="0"/>
    <x v="3"/>
    <x v="5"/>
    <s v="Assurance"/>
    <x v="0"/>
    <s v="Primes d'assurance"/>
    <n v="0"/>
    <n v="733.55"/>
    <s v="Autres activités"/>
    <s v="Primes d'assurance"/>
    <e v="#N/A"/>
  </r>
  <r>
    <n v="2025"/>
    <m/>
    <m/>
    <m/>
    <n v="-500"/>
    <m/>
    <x v="9"/>
    <x v="0"/>
    <x v="3"/>
    <x v="5"/>
    <m/>
    <x v="0"/>
    <s v="Entretien et réparations"/>
    <n v="0"/>
    <n v="500"/>
    <s v="Autres activités"/>
    <s v="Entretien et réparations"/>
    <e v="#N/A"/>
  </r>
  <r>
    <n v="2025"/>
    <n v="5"/>
    <m/>
    <m/>
    <n v="1750"/>
    <m/>
    <x v="10"/>
    <x v="0"/>
    <x v="3"/>
    <x v="5"/>
    <m/>
    <x v="0"/>
    <s v="Produits activités annexes EEDF"/>
    <n v="1750"/>
    <n v="0"/>
    <s v="Autres activités"/>
    <e v="#N/A"/>
    <s v="Produits activités annexes EEDF"/>
  </r>
  <r>
    <n v="2025"/>
    <n v="115"/>
    <m/>
    <m/>
    <n v="-1000"/>
    <m/>
    <x v="2"/>
    <x v="2"/>
    <x v="4"/>
    <x v="6"/>
    <m/>
    <x v="0"/>
    <s v="Locations terrains et centres EEDF"/>
    <n v="0"/>
    <n v="1000"/>
    <s v="Congrès régional"/>
    <s v="Locations terrains et centres EEDF"/>
    <e v="#N/A"/>
  </r>
  <r>
    <n v="2025"/>
    <n v="78"/>
    <m/>
    <m/>
    <n v="-1000"/>
    <m/>
    <x v="11"/>
    <x v="2"/>
    <x v="4"/>
    <x v="6"/>
    <m/>
    <x v="0"/>
    <s v="Transport des participants"/>
    <n v="0"/>
    <n v="1000"/>
    <s v="Congrès régional"/>
    <s v="Transport des participants"/>
    <e v="#N/A"/>
  </r>
  <r>
    <n v="2025"/>
    <n v="57"/>
    <m/>
    <m/>
    <n v="-800"/>
    <m/>
    <x v="3"/>
    <x v="2"/>
    <x v="4"/>
    <x v="6"/>
    <m/>
    <x v="0"/>
    <s v="Achats denrées alimentaires"/>
    <n v="0"/>
    <n v="800"/>
    <s v="Congrès régional"/>
    <s v="Achats denrées alimentaires"/>
    <e v="#N/A"/>
  </r>
  <r>
    <n v="2025"/>
    <n v="86"/>
    <m/>
    <m/>
    <n v="2800"/>
    <m/>
    <x v="12"/>
    <x v="2"/>
    <x v="4"/>
    <x v="6"/>
    <m/>
    <x v="0"/>
    <s v="Participation aux camps, activités EEDF"/>
    <n v="2800"/>
    <n v="0"/>
    <s v="Congrès régional"/>
    <e v="#N/A"/>
    <s v="Participation aux camps, activités EEDF"/>
  </r>
  <r>
    <n v="2025"/>
    <m/>
    <m/>
    <m/>
    <n v="-1757.6"/>
    <m/>
    <x v="13"/>
    <x v="0"/>
    <x v="1"/>
    <x v="7"/>
    <m/>
    <x v="0"/>
    <s v="Contribution nationale EEDF"/>
    <n v="0"/>
    <n v="1757.6"/>
    <e v="#N/A"/>
    <s v="Contribution nationale EEDF"/>
    <s v="Contribution nationale EEDF"/>
  </r>
  <r>
    <n v="2025"/>
    <m/>
    <m/>
    <m/>
    <n v="-300"/>
    <m/>
    <x v="11"/>
    <x v="2"/>
    <x v="4"/>
    <x v="8"/>
    <m/>
    <x v="0"/>
    <s v="Transport des participants"/>
    <n v="0"/>
    <n v="300"/>
    <e v="#N/A"/>
    <s v="Transport des participants"/>
    <e v="#N/A"/>
  </r>
  <r>
    <n v="2025"/>
    <m/>
    <m/>
    <m/>
    <n v="-200"/>
    <m/>
    <x v="3"/>
    <x v="2"/>
    <x v="4"/>
    <x v="8"/>
    <s v="Alimentaire rencontre ER"/>
    <x v="0"/>
    <s v="Achats denrées alimentaires"/>
    <n v="0"/>
    <n v="200"/>
    <e v="#N/A"/>
    <s v="Achats denrées alimentaires"/>
    <e v="#N/A"/>
  </r>
  <r>
    <n v="2025"/>
    <n v="17"/>
    <m/>
    <m/>
    <n v="-4440"/>
    <m/>
    <x v="14"/>
    <x v="0"/>
    <x v="0"/>
    <x v="9"/>
    <m/>
    <x v="0"/>
    <s v="Locations immobilières"/>
    <n v="0"/>
    <n v="4440"/>
    <s v="Fonctionnement (charges et produits indirects)"/>
    <s v="Locations immobilières"/>
    <e v="#N/A"/>
  </r>
  <r>
    <n v="2025"/>
    <n v="28"/>
    <m/>
    <m/>
    <n v="-309.17"/>
    <m/>
    <x v="8"/>
    <x v="0"/>
    <x v="0"/>
    <x v="9"/>
    <s v="Assurance"/>
    <x v="0"/>
    <s v="Primes d'assurance"/>
    <n v="0"/>
    <n v="309.17"/>
    <s v="Fonctionnement (charges et produits indirects)"/>
    <s v="Primes d'assurance"/>
    <e v="#N/A"/>
  </r>
  <r>
    <n v="2025"/>
    <m/>
    <m/>
    <m/>
    <n v="4440"/>
    <m/>
    <x v="15"/>
    <x v="0"/>
    <x v="0"/>
    <x v="9"/>
    <m/>
    <x v="0"/>
    <s v="Subventions communales"/>
    <n v="4440"/>
    <n v="0"/>
    <s v="Fonctionnement (charges et produits indirects)"/>
    <e v="#N/A"/>
    <s v="Subventions communales"/>
  </r>
  <r>
    <n v="2025"/>
    <m/>
    <m/>
    <m/>
    <n v="-20250"/>
    <m/>
    <x v="3"/>
    <x v="1"/>
    <x v="5"/>
    <x v="10"/>
    <m/>
    <x v="0"/>
    <s v="Achats denrées alimentaires"/>
    <n v="0"/>
    <n v="20250"/>
    <m/>
    <s v="Achats denrées alimentaires"/>
    <e v="#N/A"/>
  </r>
  <r>
    <n v="2025"/>
    <m/>
    <m/>
    <m/>
    <n v="-5870"/>
    <m/>
    <x v="16"/>
    <x v="1"/>
    <x v="5"/>
    <x v="10"/>
    <m/>
    <x v="0"/>
    <s v="Petites fournitures et petit matériel"/>
    <n v="0"/>
    <n v="5870"/>
    <e v="#N/A"/>
    <s v="Petites fournitures et petit matériel"/>
    <e v="#N/A"/>
  </r>
  <r>
    <n v="2025"/>
    <m/>
    <m/>
    <m/>
    <n v="-4040"/>
    <m/>
    <x v="2"/>
    <x v="1"/>
    <x v="5"/>
    <x v="10"/>
    <m/>
    <x v="0"/>
    <s v="Locations immobilières"/>
    <n v="0"/>
    <n v="4040"/>
    <e v="#N/A"/>
    <s v="Locations immobilières"/>
    <e v="#N/A"/>
  </r>
  <r>
    <n v="2025"/>
    <m/>
    <m/>
    <m/>
    <n v="-2125"/>
    <m/>
    <x v="17"/>
    <x v="1"/>
    <x v="5"/>
    <x v="10"/>
    <m/>
    <x v="0"/>
    <s v="Fournitures éducatives et pédagogiques"/>
    <n v="0"/>
    <n v="2125"/>
    <e v="#N/A"/>
    <s v="Fournitures éducatives et pédagogiques"/>
    <e v="#N/A"/>
  </r>
  <r>
    <n v="2025"/>
    <m/>
    <m/>
    <m/>
    <n v="-2000"/>
    <m/>
    <x v="18"/>
    <x v="1"/>
    <x v="5"/>
    <x v="10"/>
    <m/>
    <x v="0"/>
    <s v="Prestations éducatives"/>
    <n v="0"/>
    <n v="2000"/>
    <e v="#N/A"/>
    <s v="Prestations éducatives"/>
    <e v="#N/A"/>
  </r>
  <r>
    <n v="2025"/>
    <m/>
    <m/>
    <m/>
    <n v="-1080"/>
    <m/>
    <x v="19"/>
    <x v="1"/>
    <x v="5"/>
    <x v="10"/>
    <m/>
    <x v="0"/>
    <s v="Autres locations (matériel, véhicules)"/>
    <n v="0"/>
    <n v="1080"/>
    <e v="#N/A"/>
    <s v="Autres locations (matériel, véhicules)"/>
    <e v="#N/A"/>
  </r>
  <r>
    <n v="2025"/>
    <m/>
    <m/>
    <m/>
    <n v="-875"/>
    <m/>
    <x v="20"/>
    <x v="1"/>
    <x v="5"/>
    <x v="10"/>
    <m/>
    <x v="0"/>
    <s v="Carburants"/>
    <n v="0"/>
    <n v="875"/>
    <e v="#N/A"/>
    <s v="Carburants"/>
    <e v="#N/A"/>
  </r>
  <r>
    <n v="2025"/>
    <m/>
    <m/>
    <m/>
    <n v="-700"/>
    <m/>
    <x v="11"/>
    <x v="1"/>
    <x v="5"/>
    <x v="10"/>
    <m/>
    <x v="0"/>
    <s v="Trpt et déplac;, missions, réceptions"/>
    <n v="0"/>
    <n v="700"/>
    <e v="#N/A"/>
    <s v="Trpt et déplac;, missions, réceptions"/>
    <e v="#N/A"/>
  </r>
  <r>
    <n v="2025"/>
    <m/>
    <m/>
    <m/>
    <n v="-500"/>
    <m/>
    <x v="21"/>
    <x v="1"/>
    <x v="5"/>
    <x v="10"/>
    <s v="Entretien divers"/>
    <x v="0"/>
    <s v="Eau, gaz, électricité, combustible"/>
    <n v="0"/>
    <n v="500"/>
    <e v="#N/A"/>
    <s v="Eau, gaz, électricité, combustible"/>
    <e v="#N/A"/>
  </r>
  <r>
    <n v="2025"/>
    <m/>
    <m/>
    <m/>
    <n v="-100"/>
    <m/>
    <x v="22"/>
    <x v="1"/>
    <x v="5"/>
    <x v="10"/>
    <m/>
    <x v="0"/>
    <s v="Produits pharmaceutiques"/>
    <n v="0"/>
    <n v="100"/>
    <e v="#N/A"/>
    <s v="Produits pharmaceutiques"/>
    <e v="#N/A"/>
  </r>
  <r>
    <n v="2025"/>
    <m/>
    <m/>
    <m/>
    <n v="-100"/>
    <m/>
    <x v="8"/>
    <x v="1"/>
    <x v="5"/>
    <x v="10"/>
    <m/>
    <x v="0"/>
    <s v="Primes d'assurance"/>
    <n v="0"/>
    <n v="100"/>
    <e v="#N/A"/>
    <s v="Primes d'assurance"/>
    <e v="#N/A"/>
  </r>
  <r>
    <n v="2025"/>
    <m/>
    <m/>
    <m/>
    <n v="5000"/>
    <m/>
    <x v="15"/>
    <x v="1"/>
    <x v="5"/>
    <x v="10"/>
    <m/>
    <x v="0"/>
    <s v="Subventions régionales"/>
    <n v="5000"/>
    <n v="0"/>
    <e v="#N/A"/>
    <e v="#N/A"/>
    <s v="Subventions régionales"/>
  </r>
  <r>
    <n v="2025"/>
    <m/>
    <m/>
    <m/>
    <n v="36950"/>
    <m/>
    <x v="23"/>
    <x v="1"/>
    <x v="5"/>
    <x v="10"/>
    <m/>
    <x v="0"/>
    <s v="Participation aux camps, activités"/>
    <n v="36950"/>
    <n v="0"/>
    <e v="#N/A"/>
    <e v="#N/A"/>
    <s v="Participation aux camps, activités"/>
  </r>
  <r>
    <n v="2025"/>
    <m/>
    <m/>
    <m/>
    <n v="-1000"/>
    <m/>
    <x v="24"/>
    <x v="1"/>
    <x v="5"/>
    <x v="11"/>
    <m/>
    <x v="0"/>
    <s v="Charges diverses"/>
    <n v="0"/>
    <n v="1000"/>
    <e v="#N/A"/>
    <s v="Charges diverses"/>
    <e v="#N/A"/>
  </r>
  <r>
    <n v="2025"/>
    <m/>
    <m/>
    <m/>
    <n v="1000"/>
    <m/>
    <x v="15"/>
    <x v="1"/>
    <x v="5"/>
    <x v="11"/>
    <m/>
    <x v="0"/>
    <s v="Subventions régionales"/>
    <n v="1000"/>
    <n v="0"/>
    <e v="#N/A"/>
    <e v="#N/A"/>
    <s v="Subventions régionales"/>
  </r>
  <r>
    <n v="2025"/>
    <n v="32"/>
    <m/>
    <m/>
    <n v="-350"/>
    <m/>
    <x v="11"/>
    <x v="2"/>
    <x v="6"/>
    <x v="12"/>
    <m/>
    <x v="0"/>
    <s v="Transport des participants"/>
    <n v="0"/>
    <n v="350"/>
    <s v=""/>
    <s v="Transport des participants"/>
    <e v="#N/A"/>
  </r>
  <r>
    <n v="2025"/>
    <m/>
    <m/>
    <m/>
    <n v="-1000"/>
    <m/>
    <x v="3"/>
    <x v="1"/>
    <x v="2"/>
    <x v="13"/>
    <m/>
    <x v="0"/>
    <s v="Achats denrées alimentaires"/>
    <n v="0"/>
    <n v="1000"/>
    <s v="Formations des bénévoles (hors BAFA-BAFD)"/>
    <s v="Achats denrées alimentaires"/>
    <e v="#N/A"/>
  </r>
  <r>
    <n v="2025"/>
    <m/>
    <m/>
    <m/>
    <n v="-1000"/>
    <m/>
    <x v="2"/>
    <x v="1"/>
    <x v="2"/>
    <x v="13"/>
    <m/>
    <x v="0"/>
    <s v="Locations terrains et centres EEDF"/>
    <n v="0"/>
    <n v="1000"/>
    <s v="Formations des bénévoles (hors BAFA-BAFD)"/>
    <s v="Locations terrains et centres EEDF"/>
    <e v="#N/A"/>
  </r>
  <r>
    <n v="2025"/>
    <m/>
    <m/>
    <m/>
    <n v="-1000"/>
    <m/>
    <x v="11"/>
    <x v="1"/>
    <x v="2"/>
    <x v="13"/>
    <m/>
    <x v="0"/>
    <s v="Transport des participants"/>
    <n v="0"/>
    <n v="1000"/>
    <s v="Formations des bénévoles (hors BAFA-BAFD)"/>
    <s v="Transport des participants"/>
    <e v="#N/A"/>
  </r>
  <r>
    <n v="2025"/>
    <m/>
    <m/>
    <m/>
    <n v="3300"/>
    <m/>
    <x v="15"/>
    <x v="1"/>
    <x v="2"/>
    <x v="13"/>
    <m/>
    <x v="0"/>
    <s v="Subventions Nationales"/>
    <n v="3300"/>
    <n v="0"/>
    <s v="Formations des bénévoles (hors BAFA-BAFD)"/>
    <e v="#N/A"/>
    <s v="Subventions Nationales"/>
  </r>
  <r>
    <n v="2025"/>
    <n v="63"/>
    <m/>
    <m/>
    <n v="-1000"/>
    <m/>
    <x v="3"/>
    <x v="1"/>
    <x v="2"/>
    <x v="14"/>
    <m/>
    <x v="0"/>
    <s v="Achats denrées alimentaires"/>
    <n v="0"/>
    <n v="1000"/>
    <s v="Formations des bénévoles (hors BAFA-BAFD)"/>
    <s v="Achats denrées alimentaires"/>
    <e v="#N/A"/>
  </r>
  <r>
    <n v="2025"/>
    <n v="116"/>
    <m/>
    <m/>
    <n v="-1000"/>
    <m/>
    <x v="2"/>
    <x v="1"/>
    <x v="2"/>
    <x v="14"/>
    <m/>
    <x v="0"/>
    <s v="Locations terrains et centres EEDF"/>
    <n v="0"/>
    <n v="1000"/>
    <s v="Formations des bénévoles (hors BAFA-BAFD)"/>
    <s v="Locations terrains et centres EEDF"/>
    <e v="#N/A"/>
  </r>
  <r>
    <n v="2025"/>
    <n v="76"/>
    <m/>
    <m/>
    <n v="-1000"/>
    <m/>
    <x v="11"/>
    <x v="1"/>
    <x v="2"/>
    <x v="14"/>
    <m/>
    <x v="0"/>
    <s v="Transport des participants"/>
    <n v="0"/>
    <n v="1000"/>
    <s v="Formations des bénévoles (hors BAFA-BAFD)"/>
    <s v="Transport des participants"/>
    <e v="#N/A"/>
  </r>
  <r>
    <n v="2025"/>
    <m/>
    <m/>
    <m/>
    <n v="3300"/>
    <m/>
    <x v="15"/>
    <x v="1"/>
    <x v="2"/>
    <x v="14"/>
    <m/>
    <x v="0"/>
    <s v="Subventions Nationales"/>
    <n v="3300"/>
    <n v="0"/>
    <s v="Formations des bénévoles (hors BAFA-BAFD)"/>
    <e v="#N/A"/>
    <s v="Subventions Nationales"/>
  </r>
  <r>
    <n v="2025"/>
    <m/>
    <m/>
    <m/>
    <n v="-806.09"/>
    <m/>
    <x v="8"/>
    <x v="0"/>
    <x v="3"/>
    <x v="15"/>
    <s v="Assurance"/>
    <x v="0"/>
    <s v="Primes d'assurance"/>
    <n v="0"/>
    <n v="806.09"/>
    <n v="0"/>
    <s v="Primes d'assurance"/>
    <e v="#N/A"/>
  </r>
  <r>
    <n v="2025"/>
    <m/>
    <m/>
    <m/>
    <n v="-250"/>
    <m/>
    <x v="9"/>
    <x v="0"/>
    <x v="3"/>
    <x v="15"/>
    <m/>
    <x v="0"/>
    <s v="Carburants"/>
    <n v="0"/>
    <n v="250"/>
    <n v="0"/>
    <s v="Carburants"/>
    <e v="#N/A"/>
  </r>
  <r>
    <n v="2025"/>
    <m/>
    <m/>
    <m/>
    <n v="1200"/>
    <m/>
    <x v="10"/>
    <x v="0"/>
    <x v="3"/>
    <x v="15"/>
    <m/>
    <x v="0"/>
    <s v="Produits activités annexes EEDF"/>
    <n v="1200"/>
    <n v="0"/>
    <n v="0"/>
    <e v="#N/A"/>
    <s v="Produits activités annexes EEDF"/>
  </r>
  <r>
    <m/>
    <m/>
    <m/>
    <m/>
    <m/>
    <m/>
    <x v="25"/>
    <x v="3"/>
    <x v="7"/>
    <x v="16"/>
    <m/>
    <x v="1"/>
    <m/>
    <n v="0"/>
    <n v="0"/>
    <e v="#N/A"/>
    <e v="#N/A"/>
    <e v="#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C00-000001000000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15" firstHeaderRow="1" firstDataRow="1" firstDataCol="1" rowPageCount="1" colPageCount="1"/>
  <pivotFields count="9">
    <pivotField axis="axisPage" showAll="0">
      <items count="4">
        <item x="1"/>
        <item x="0"/>
        <item x="2"/>
        <item t="default"/>
      </items>
    </pivotField>
    <pivotField numFmtId="16" showAll="0"/>
    <pivotField showAll="0"/>
    <pivotField dataField="1" showAll="0"/>
    <pivotField showAll="0"/>
    <pivotField showAll="0"/>
    <pivotField axis="axisRow" showAll="0">
      <items count="21">
        <item x="0"/>
        <item x="13"/>
        <item x="7"/>
        <item x="8"/>
        <item x="3"/>
        <item x="6"/>
        <item x="1"/>
        <item m="1" x="18"/>
        <item x="5"/>
        <item m="1" x="16"/>
        <item x="11"/>
        <item x="9"/>
        <item x="10"/>
        <item x="14"/>
        <item x="2"/>
        <item x="12"/>
        <item x="4"/>
        <item m="1" x="17"/>
        <item m="1" x="19"/>
        <item x="15"/>
        <item t="default"/>
      </items>
    </pivotField>
    <pivotField showAll="0"/>
    <pivotField showAll="0" defaultSubtotal="0"/>
  </pivotFields>
  <rowFields count="1">
    <field x="6"/>
  </rowFields>
  <rowItems count="12">
    <i>
      <x/>
    </i>
    <i>
      <x v="1"/>
    </i>
    <i>
      <x v="2"/>
    </i>
    <i>
      <x v="4"/>
    </i>
    <i>
      <x v="5"/>
    </i>
    <i>
      <x v="8"/>
    </i>
    <i>
      <x v="10"/>
    </i>
    <i>
      <x v="12"/>
    </i>
    <i>
      <x v="13"/>
    </i>
    <i>
      <x v="15"/>
    </i>
    <i>
      <x v="16"/>
    </i>
    <i t="grand">
      <x/>
    </i>
  </rowItems>
  <colItems count="1">
    <i/>
  </colItems>
  <pageFields count="1">
    <pageField fld="0" item="1" hier="-1"/>
  </pageFields>
  <dataFields count="1">
    <dataField name="Sum of Montant" fld="3" baseField="6" baseItem="0" numFmtId="18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C00-000000000000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6:I16" firstHeaderRow="1" firstDataRow="1" firstDataCol="1" rowPageCount="2" colPageCount="1"/>
  <pivotFields count="9">
    <pivotField axis="axisPage" showAll="0">
      <items count="4">
        <item x="1"/>
        <item x="0"/>
        <item x="2"/>
        <item t="default"/>
      </items>
    </pivotField>
    <pivotField numFmtId="16" showAll="0"/>
    <pivotField showAll="0"/>
    <pivotField dataField="1" showAll="0"/>
    <pivotField showAll="0"/>
    <pivotField showAll="0"/>
    <pivotField axis="axisRow" showAll="0">
      <items count="21">
        <item x="0"/>
        <item x="13"/>
        <item x="7"/>
        <item x="8"/>
        <item x="3"/>
        <item x="6"/>
        <item x="1"/>
        <item m="1" x="18"/>
        <item x="5"/>
        <item m="1" x="16"/>
        <item x="11"/>
        <item x="9"/>
        <item x="10"/>
        <item x="14"/>
        <item x="2"/>
        <item x="12"/>
        <item x="4"/>
        <item m="1" x="17"/>
        <item m="1" x="19"/>
        <item x="15"/>
        <item t="default"/>
      </items>
    </pivotField>
    <pivotField showAll="0"/>
    <pivotField axis="axisPage" showAll="0" defaultSubtotal="0">
      <items count="3">
        <item x="1"/>
        <item x="0"/>
        <item x="2"/>
      </items>
    </pivotField>
  </pivotFields>
  <rowFields count="1">
    <field x="6"/>
  </rowFields>
  <rowItems count="10">
    <i>
      <x v="2"/>
    </i>
    <i>
      <x v="4"/>
    </i>
    <i>
      <x v="5"/>
    </i>
    <i>
      <x v="8"/>
    </i>
    <i>
      <x v="10"/>
    </i>
    <i>
      <x v="12"/>
    </i>
    <i>
      <x v="13"/>
    </i>
    <i>
      <x v="15"/>
    </i>
    <i>
      <x v="16"/>
    </i>
    <i t="grand">
      <x/>
    </i>
  </rowItems>
  <colItems count="1">
    <i/>
  </colItems>
  <pageFields count="2">
    <pageField fld="0" item="1" hier="-1"/>
    <pageField fld="8" item="0" hier="-1"/>
  </pageFields>
  <dataFields count="1">
    <dataField name="Sum of Montant" fld="3" baseField="6" baseItem="0" numFmtId="18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C00-000002000000}" name="Tableau croisé dynamique1" cacheId="1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D30" firstHeaderRow="0" firstDataRow="1" firstDataCol="1" rowPageCount="1" colPageCount="1"/>
  <pivotFields count="18">
    <pivotField showAll="0"/>
    <pivotField showAll="0"/>
    <pivotField showAll="0"/>
    <pivotField showAll="0"/>
    <pivotField dataField="1" numFmtId="170" showAll="0"/>
    <pivotField showAll="0"/>
    <pivotField axis="axisRow" showAll="0" defaultSubtotal="0">
      <items count="87">
        <item m="1" x="80"/>
        <item m="1" x="58"/>
        <item m="1" x="77"/>
        <item m="1" x="46"/>
        <item m="1" x="28"/>
        <item m="1" x="59"/>
        <item m="1" x="48"/>
        <item m="1" x="50"/>
        <item x="3"/>
        <item m="1" x="60"/>
        <item x="8"/>
        <item x="4"/>
        <item m="1" x="69"/>
        <item m="1" x="86"/>
        <item m="1" x="37"/>
        <item m="1" x="57"/>
        <item m="1" x="41"/>
        <item x="7"/>
        <item m="1" x="35"/>
        <item m="1" x="70"/>
        <item x="9"/>
        <item m="1" x="52"/>
        <item m="1" x="81"/>
        <item m="1" x="29"/>
        <item m="1" x="53"/>
        <item m="1" x="83"/>
        <item x="2"/>
        <item m="1" x="36"/>
        <item m="1" x="66"/>
        <item x="14"/>
        <item m="1" x="75"/>
        <item x="16"/>
        <item m="1" x="31"/>
        <item m="1" x="85"/>
        <item m="1" x="63"/>
        <item m="1" x="33"/>
        <item m="1" x="68"/>
        <item m="1" x="67"/>
        <item m="1" x="71"/>
        <item x="23"/>
        <item x="12"/>
        <item m="1" x="47"/>
        <item m="1" x="45"/>
        <item m="1" x="39"/>
        <item m="1" x="73"/>
        <item x="6"/>
        <item x="5"/>
        <item m="1" x="51"/>
        <item m="1" x="27"/>
        <item m="1" x="44"/>
        <item m="1" x="43"/>
        <item m="1" x="38"/>
        <item m="1" x="30"/>
        <item m="1" x="32"/>
        <item m="1" x="40"/>
        <item m="1" x="65"/>
        <item m="1" x="74"/>
        <item m="1" x="84"/>
        <item m="1" x="49"/>
        <item m="1" x="62"/>
        <item x="15"/>
        <item m="1" x="82"/>
        <item m="1" x="79"/>
        <item m="1" x="78"/>
        <item x="11"/>
        <item m="1" x="72"/>
        <item m="1" x="76"/>
        <item m="1" x="64"/>
        <item m="1" x="61"/>
        <item x="25"/>
        <item x="10"/>
        <item m="1" x="34"/>
        <item x="0"/>
        <item m="1" x="42"/>
        <item m="1" x="54"/>
        <item m="1" x="55"/>
        <item m="1" x="56"/>
        <item x="1"/>
        <item m="1" x="26"/>
        <item x="13"/>
        <item x="18"/>
        <item x="24"/>
        <item x="21"/>
        <item x="17"/>
        <item x="20"/>
        <item x="22"/>
        <item x="19"/>
      </items>
    </pivotField>
    <pivotField axis="axisRow" showAll="0" defaultSubtotal="0">
      <items count="4">
        <item x="0"/>
        <item sd="0" x="1"/>
        <item sd="0" x="2"/>
        <item x="3"/>
      </items>
    </pivotField>
    <pivotField axis="axisRow" showAll="0">
      <items count="16">
        <item sd="0" x="6"/>
        <item m="1" x="14"/>
        <item sd="0" m="1" x="10"/>
        <item m="1" x="12"/>
        <item m="1" x="9"/>
        <item m="1" x="13"/>
        <item m="1" x="11"/>
        <item sd="0" x="4"/>
        <item x="7"/>
        <item x="3"/>
        <item m="1" x="8"/>
        <item x="0"/>
        <item x="1"/>
        <item sd="0" x="2"/>
        <item sd="0" x="5"/>
        <item t="default"/>
      </items>
    </pivotField>
    <pivotField axis="axisRow" showAll="0">
      <items count="40">
        <item m="1" x="37"/>
        <item m="1" x="35"/>
        <item m="1" x="19"/>
        <item x="0"/>
        <item m="1" x="31"/>
        <item m="1" x="29"/>
        <item x="3"/>
        <item m="1" x="22"/>
        <item x="4"/>
        <item x="5"/>
        <item m="1" x="34"/>
        <item x="6"/>
        <item m="1" x="33"/>
        <item x="8"/>
        <item m="1" x="24"/>
        <item m="1" x="27"/>
        <item x="9"/>
        <item m="1" x="26"/>
        <item m="1" x="23"/>
        <item m="1" x="30"/>
        <item m="1" x="25"/>
        <item m="1" x="21"/>
        <item x="13"/>
        <item x="14"/>
        <item x="15"/>
        <item m="1" x="20"/>
        <item m="1" x="36"/>
        <item m="1" x="28"/>
        <item m="1" x="32"/>
        <item m="1" x="38"/>
        <item x="16"/>
        <item x="2"/>
        <item x="1"/>
        <item m="1" x="17"/>
        <item m="1" x="18"/>
        <item x="7"/>
        <item x="12"/>
        <item x="10"/>
        <item x="11"/>
        <item t="default"/>
      </items>
    </pivotField>
    <pivotField showAll="0"/>
    <pivotField axis="axisPage" showAll="0">
      <items count="6">
        <item m="1" x="4"/>
        <item x="0"/>
        <item m="1" x="3"/>
        <item m="1" x="2"/>
        <item x="1"/>
        <item t="default"/>
      </items>
    </pivotField>
    <pivotField showAll="0"/>
    <pivotField dataField="1" showAll="0" defaultSubtotal="0"/>
    <pivotField dataField="1" showAll="0" defaultSubtotal="0"/>
    <pivotField showAll="0"/>
    <pivotField showAll="0"/>
    <pivotField showAll="0"/>
  </pivotFields>
  <rowFields count="4">
    <field x="7"/>
    <field x="8"/>
    <field x="9"/>
    <field x="6"/>
  </rowFields>
  <rowItems count="27">
    <i>
      <x/>
    </i>
    <i r="1">
      <x v="9"/>
    </i>
    <i r="2">
      <x v="9"/>
    </i>
    <i r="3">
      <x v="10"/>
    </i>
    <i r="3">
      <x v="20"/>
    </i>
    <i r="3">
      <x v="70"/>
    </i>
    <i r="2">
      <x v="24"/>
    </i>
    <i r="3">
      <x v="10"/>
    </i>
    <i r="3">
      <x v="20"/>
    </i>
    <i r="3">
      <x v="70"/>
    </i>
    <i r="1">
      <x v="11"/>
    </i>
    <i r="2">
      <x v="3"/>
    </i>
    <i r="3">
      <x v="72"/>
    </i>
    <i r="2">
      <x v="8"/>
    </i>
    <i r="3">
      <x v="17"/>
    </i>
    <i r="2">
      <x v="16"/>
    </i>
    <i r="3">
      <x v="10"/>
    </i>
    <i r="3">
      <x v="29"/>
    </i>
    <i r="3">
      <x v="60"/>
    </i>
    <i r="1">
      <x v="12"/>
    </i>
    <i r="2">
      <x v="32"/>
    </i>
    <i r="3">
      <x v="77"/>
    </i>
    <i r="2">
      <x v="35"/>
    </i>
    <i r="3">
      <x v="79"/>
    </i>
    <i>
      <x v="1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1" item="1" hier="-1"/>
  </pageFields>
  <dataFields count="3">
    <dataField name="Sum of Produits" fld="13" baseField="9" baseItem="32" numFmtId="193"/>
    <dataField name="Sum of Charges" fld="14" baseField="9" baseItem="32" numFmtId="194"/>
    <dataField name="Sum of Montant" fld="4" baseField="6" baseItem="26" numFmtId="18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C00-000003000000}" name="Tableau croisé dynamique1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B18" firstHeaderRow="1" firstDataRow="1" firstDataCol="1"/>
  <pivotFields count="33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showAll="0">
      <items count="15">
        <item x="9"/>
        <item x="3"/>
        <item x="12"/>
        <item x="0"/>
        <item x="4"/>
        <item x="6"/>
        <item x="10"/>
        <item x="5"/>
        <item x="8"/>
        <item x="7"/>
        <item x="1"/>
        <item x="2"/>
        <item x="11"/>
        <item x="13"/>
        <item t="default"/>
      </items>
    </pivotField>
    <pivotField showAll="0"/>
  </pivotFields>
  <rowFields count="1">
    <field x="31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Nombre de Numéro" fld="19" subtotal="count" baseField="0" baseItem="0"/>
  </dataFields>
  <formats count="4">
    <format dxfId="19">
      <pivotArea collapsedLevelsAreSubtotals="1" fieldPosition="0">
        <references count="1">
          <reference field="31" count="1">
            <x v="10"/>
          </reference>
        </references>
      </pivotArea>
    </format>
    <format dxfId="18">
      <pivotArea dataOnly="0" labelOnly="1" fieldPosition="0">
        <references count="1">
          <reference field="31" count="1">
            <x v="10"/>
          </reference>
        </references>
      </pivotArea>
    </format>
    <format dxfId="17">
      <pivotArea collapsedLevelsAreSubtotals="1" fieldPosition="0">
        <references count="1">
          <reference field="31" count="1">
            <x v="7"/>
          </reference>
        </references>
      </pivotArea>
    </format>
    <format dxfId="16">
      <pivotArea dataOnly="0" labelOnly="1" fieldPosition="0">
        <references count="1">
          <reference field="3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F79A53-5866-426A-A6C5-6B7E8F1EC032}" name="Table15" displayName="Table15" ref="A2:P290" totalsRowShown="0">
  <autoFilter ref="A2:P290" xr:uid="{00000000-0009-0000-0100-000001000000}"/>
  <tableColumns count="16">
    <tableColumn id="1" xr3:uid="{17DAB231-3949-43AF-814C-E3FBBC1D06F7}" name="Exercice"/>
    <tableColumn id="12" xr3:uid="{4C03719F-9770-458E-8A82-6470563821A6}" name="N°" dataCellStyle="Normal 6"/>
    <tableColumn id="2" xr3:uid="{E9F1874B-CD00-46EA-A0B8-302199EF71EB}" name="Date" dataDxfId="25"/>
    <tableColumn id="3" xr3:uid="{34FA4A44-363B-48D7-A00D-F5E817EE5592}" name="Compte/caisse/CHQ"/>
    <tableColumn id="4" xr3:uid="{8D525C43-3CC2-4F3C-9E66-05D27C49969C}" name="Montant"/>
    <tableColumn id="5" xr3:uid="{1F9A6DF6-260D-46C8-A38F-F4F843739D3A}" name="Tiers"/>
    <tableColumn id="6" xr3:uid="{A3A568B6-5FE6-4AEC-85C4-6C2E75D638B5}" name="Description"/>
    <tableColumn id="14" xr3:uid="{D52797AB-FCF8-4006-A62B-A4F95D2042E5}" name="Analytique 0" dataDxfId="24" dataCellStyle="Normal 6"/>
    <tableColumn id="13" xr3:uid="{B2AF2BB7-CF21-4CD7-899B-BE0414578C4B}" name="Analytique 1" dataCellStyle="Normal 6"/>
    <tableColumn id="7" xr3:uid="{B4EDB23B-B267-491D-93F8-442438D85866}" name="projet"/>
    <tableColumn id="8" xr3:uid="{77C6A053-6BC6-4E1B-85CF-2AD9A13A082E}" name="Détail"/>
    <tableColumn id="9" xr3:uid="{D419CEFF-5E8D-4228-B5BE-1D58F79078AB}" name="A reverser"/>
    <tableColumn id="10" xr3:uid="{DEAAE453-573D-4B0B-8BC5-FC177B0ABABB}" name="Compta" dataCellStyle="Normal 6"/>
    <tableColumn id="15" xr3:uid="{9042D290-7DBC-44B6-B8AF-8CB2FA125F8F}" name="Produits" dataDxfId="23" dataCellStyle="Normal 6"/>
    <tableColumn id="16" xr3:uid="{DC8354DF-3782-4228-B246-86A3F1F67C06}" name="Charges" dataDxfId="22" dataCellStyle="Normal 6"/>
    <tableColumn id="11" xr3:uid="{E0C01873-6625-4EDA-BFA5-12D9E43A8E08}" name="Column1" dataDxfId="21" dataCellStyle="Normal 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P" displayName="BP" ref="A2:R57" totalsRowShown="0">
  <autoFilter ref="A2:R57" xr:uid="{00000000-0009-0000-0100-000001000000}"/>
  <sortState xmlns:xlrd2="http://schemas.microsoft.com/office/spreadsheetml/2017/richdata2" ref="A3:R57">
    <sortCondition ref="J2:J57"/>
  </sortState>
  <tableColumns count="18">
    <tableColumn id="1" xr3:uid="{00000000-0010-0000-0000-000001000000}" name="Exercice"/>
    <tableColumn id="12" xr3:uid="{00000000-0010-0000-0000-00000C000000}" name="N°" dataCellStyle="Normal 6"/>
    <tableColumn id="2" xr3:uid="{00000000-0010-0000-0000-000002000000}" name="Date" dataDxfId="6"/>
    <tableColumn id="3" xr3:uid="{00000000-0010-0000-0000-000003000000}" name="Compte/caisse/CHQ"/>
    <tableColumn id="4" xr3:uid="{00000000-0010-0000-0000-000004000000}" name="Montant"/>
    <tableColumn id="5" xr3:uid="{00000000-0010-0000-0000-000005000000}" name="Colonne1"/>
    <tableColumn id="6" xr3:uid="{00000000-0010-0000-0000-000006000000}" name="Description"/>
    <tableColumn id="14" xr3:uid="{00000000-0010-0000-0000-00000E000000}" name="Analytique 0" dataDxfId="5" dataCellStyle="Normal 6"/>
    <tableColumn id="13" xr3:uid="{00000000-0010-0000-0000-00000D000000}" name="Analytique 1" dataCellStyle="Normal 6"/>
    <tableColumn id="7" xr3:uid="{00000000-0010-0000-0000-000007000000}" name="projet"/>
    <tableColumn id="8" xr3:uid="{00000000-0010-0000-0000-000008000000}" name="Détail"/>
    <tableColumn id="9" xr3:uid="{00000000-0010-0000-0000-000009000000}" name="A reverser"/>
    <tableColumn id="10" xr3:uid="{00000000-0010-0000-0000-00000A000000}" name="Compta" dataCellStyle="Normal 6"/>
    <tableColumn id="15" xr3:uid="{00000000-0010-0000-0000-00000F000000}" name="Produits" dataDxfId="4" dataCellStyle="Normal 6">
      <calculatedColumnFormula>IF(BP[[#This Row],[Montant]]&gt;0,BP[[#This Row],[Montant]],0)</calculatedColumnFormula>
    </tableColumn>
    <tableColumn id="16" xr3:uid="{00000000-0010-0000-0000-000010000000}" name="Charges" dataDxfId="3" dataCellStyle="Normal 6">
      <calculatedColumnFormula>IF(BP[[#This Row],[Montant]]&lt;0,-BP[[#This Row],[Montant]],0)</calculatedColumnFormula>
    </tableColumn>
    <tableColumn id="11" xr3:uid="{00000000-0010-0000-0000-00000B000000}" name="Column1" dataDxfId="2" dataCellStyle="Normal 6">
      <calculatedColumnFormula>VLOOKUP(BP[[#This Row],[projet]],'Listes détails'!A:I,9,0)</calculatedColumnFormula>
    </tableColumn>
    <tableColumn id="17" xr3:uid="{553078EC-2A1D-4DAC-8BF3-3983F4FE4355}" name="Check1" dataDxfId="1" dataCellStyle="Normal 6">
      <calculatedColumnFormula>VLOOKUP(BP[[#This Row],[Compta]],'Budget CR'!B:B,1,0)</calculatedColumnFormula>
    </tableColumn>
    <tableColumn id="18" xr3:uid="{F038A396-FBA9-4458-B68B-D58195035420}" name="check2" dataDxfId="0" dataCellStyle="Normal 6">
      <calculatedColumnFormula>VLOOKUP(BP[[#This Row],[Compta]],'Budget CR'!G:G,1,0)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2:I49" totalsRowShown="0">
  <autoFilter ref="A2:I49" xr:uid="{00000000-0009-0000-0100-000002000000}">
    <filterColumn colId="6">
      <filters>
        <filter val="RIR"/>
      </filters>
    </filterColumn>
  </autoFilter>
  <sortState xmlns:xlrd2="http://schemas.microsoft.com/office/spreadsheetml/2017/richdata2" ref="A3:I48">
    <sortCondition ref="G2:G48"/>
  </sortState>
  <tableColumns count="9">
    <tableColumn id="1" xr3:uid="{00000000-0010-0000-0100-000001000000}" name="Exercice"/>
    <tableColumn id="2" xr3:uid="{00000000-0010-0000-0100-000002000000}" name="Date" dataDxfId="20"/>
    <tableColumn id="3" xr3:uid="{00000000-0010-0000-0100-000003000000}" name="Compte/caisse/CHQ"/>
    <tableColumn id="4" xr3:uid="{00000000-0010-0000-0100-000004000000}" name="Montant"/>
    <tableColumn id="5" xr3:uid="{00000000-0010-0000-0100-000005000000}" name="ACTIVITES"/>
    <tableColumn id="6" xr3:uid="{00000000-0010-0000-0100-000006000000}" name="Type"/>
    <tableColumn id="7" xr3:uid="{00000000-0010-0000-0100-000007000000}" name="projet"/>
    <tableColumn id="8" xr3:uid="{00000000-0010-0000-0100-000008000000}" name="Détail"/>
    <tableColumn id="10" xr3:uid="{00000000-0010-0000-0100-00000A000000}" name="Compt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I18" totalsRowShown="0">
  <autoFilter ref="A1:I18" xr:uid="{00000000-0009-0000-0100-000003000000}"/>
  <tableColumns count="9">
    <tableColumn id="1" xr3:uid="{00000000-0010-0000-0200-000001000000}" name="projet"/>
    <tableColumn id="2" xr3:uid="{00000000-0010-0000-0200-000002000000}" name="Analytique"/>
    <tableColumn id="3" xr3:uid="{00000000-0010-0000-0200-000003000000}" name="Début"/>
    <tableColumn id="4" xr3:uid="{00000000-0010-0000-0200-000004000000}" name="Fin"/>
    <tableColumn id="5" xr3:uid="{00000000-0010-0000-0200-000005000000}" name="commentaires produits"/>
    <tableColumn id="6" xr3:uid="{00000000-0010-0000-0200-000006000000}" name="commentaires charges"/>
    <tableColumn id="7" xr3:uid="{00000000-0010-0000-0200-000007000000}" name="Effectif prévisionnel"/>
    <tableColumn id="8" xr3:uid="{00000000-0010-0000-0200-000008000000}" name="Effectif réel"/>
    <tableColumn id="10" xr3:uid="{00000000-0010-0000-0200-00000A000000}" name="Activit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Z7" dT="2024-03-28T17:21:52.00" personId="{14E1B290-BCCF-49FD-B487-32A26D9E571A}" id="{8DF9045F-1BE9-403F-B05A-23C46DC8ACF4}">
    <text>6 participations à 120 €/pers.</text>
  </threadedComment>
  <threadedComment ref="AA7" dT="2024-03-28T17:22:35.56" personId="{14E1B290-BCCF-49FD-B487-32A26D9E571A}" id="{A62A30AB-CC74-4CCD-8E12-E25AE58E4E55}">
    <text xml:space="preserve">3 participations à 120 €/pers.
</text>
  </threadedComment>
  <threadedComment ref="S18" dT="2021-10-26T15:23:52.04" personId="{42041028-F628-41E8-929F-45B5960E2EB8}" id="{40AA05BA-9B1F-4B7C-AC0B-D0CEE1963979}">
    <text>Loyer perm</text>
  </threadedComment>
  <threadedComment ref="F32" dT="2021-10-26T14:52:37.62" personId="{42041028-F628-41E8-929F-45B5960E2EB8}" id="{0FF4B9F8-F82D-4A98-B6E0-0AFA2E837948}">
    <text>1 voiture de troyes et 5 de metz et 1 de mulhouse</text>
  </threadedComment>
  <threadedComment ref="F32" dT="2021-10-26T15:31:08.33" personId="{42041028-F628-41E8-929F-45B5960E2EB8}" id="{583DADE6-D438-4CDA-970C-41CD7D15AF20}" parentId="{0FF4B9F8-F82D-4A98-B6E0-0AFA2E837948}">
    <text>Peage Troye -&gt; Tronches 26€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28" dT="2024-10-18T07:52:38.97" personId="{87D40F39-1CBD-41F8-B4E6-D8C540CCEA33}" id="{2C1D7110-527D-498A-AD81-6DFBC880F245}">
    <text>deux véhicules à 60€/j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33" dT="2024-10-18T07:52:38.97" personId="{87D40F39-1CBD-41F8-B4E6-D8C540CCEA33}" id="{B740094D-6688-49EF-AADC-654365C83AAB}">
    <text>deux véhicules à 60€/j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ivotTable" Target="../pivotTables/pivotTable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"/>
  <sheetViews>
    <sheetView workbookViewId="0"/>
  </sheetViews>
  <sheetFormatPr defaultColWidth="8.85546875" defaultRowHeight="12" x14ac:dyDescent="0.2"/>
  <sheetData/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N42"/>
  <sheetViews>
    <sheetView workbookViewId="0"/>
  </sheetViews>
  <sheetFormatPr defaultColWidth="9.140625" defaultRowHeight="12" x14ac:dyDescent="0.2"/>
  <cols>
    <col min="1" max="1" width="3.42578125" style="135" customWidth="1"/>
    <col min="2" max="2" width="7" style="135" customWidth="1"/>
    <col min="3" max="3" width="38.5703125" style="135" customWidth="1"/>
    <col min="4" max="5" width="15.7109375" style="135" customWidth="1"/>
    <col min="6" max="6" width="25" style="135" bestFit="1" customWidth="1"/>
    <col min="7" max="7" width="18.42578125" style="135" bestFit="1" customWidth="1"/>
    <col min="8" max="8" width="16.7109375" style="135" bestFit="1" customWidth="1"/>
    <col min="9" max="9" width="25" style="135" bestFit="1" customWidth="1"/>
    <col min="10" max="10" width="19.7109375" style="135" customWidth="1"/>
    <col min="11" max="11" width="16.7109375" style="135" customWidth="1"/>
    <col min="12" max="1028" width="9.140625" style="135" customWidth="1"/>
  </cols>
  <sheetData>
    <row r="1" spans="1:11" ht="26.25" customHeight="1" x14ac:dyDescent="0.2">
      <c r="B1" s="1261" t="s">
        <v>0</v>
      </c>
      <c r="C1" s="1261"/>
      <c r="D1" s="1261"/>
      <c r="E1" s="1261"/>
      <c r="F1" s="1261"/>
      <c r="G1" s="139"/>
      <c r="H1" s="139"/>
      <c r="I1" s="139"/>
      <c r="J1" s="136"/>
      <c r="K1" s="136"/>
    </row>
    <row r="2" spans="1:11" ht="34.5" customHeight="1" x14ac:dyDescent="0.2">
      <c r="B2" s="137"/>
      <c r="C2" s="138" t="s">
        <v>1</v>
      </c>
      <c r="D2" s="139">
        <v>2023</v>
      </c>
      <c r="E2" s="136"/>
      <c r="F2" s="136"/>
      <c r="G2" s="136"/>
      <c r="H2" s="136"/>
      <c r="I2" s="136"/>
      <c r="J2" s="136"/>
      <c r="K2" s="136"/>
    </row>
    <row r="3" spans="1:11" ht="45.75" customHeight="1" thickBot="1" x14ac:dyDescent="0.25">
      <c r="B3" s="137"/>
      <c r="C3" s="138" t="s">
        <v>2</v>
      </c>
      <c r="D3" s="301"/>
      <c r="E3" s="136"/>
      <c r="F3" s="136"/>
      <c r="G3" s="136"/>
      <c r="H3" s="136"/>
      <c r="I3" s="136"/>
      <c r="J3" s="136"/>
      <c r="K3" s="136"/>
    </row>
    <row r="4" spans="1:11" s="140" customFormat="1" ht="16.5" customHeight="1" x14ac:dyDescent="0.2">
      <c r="A4" s="3"/>
      <c r="B4" s="74"/>
      <c r="C4" s="75"/>
      <c r="D4" s="722" t="s">
        <v>3</v>
      </c>
      <c r="E4" s="723" t="s">
        <v>3</v>
      </c>
      <c r="F4" s="1262" t="s">
        <v>4</v>
      </c>
      <c r="G4" s="722" t="s">
        <v>3</v>
      </c>
      <c r="H4" s="723" t="s">
        <v>3</v>
      </c>
      <c r="I4" s="1266" t="s">
        <v>5</v>
      </c>
      <c r="J4" s="1264" t="s">
        <v>6</v>
      </c>
      <c r="K4" s="1265" t="s">
        <v>7</v>
      </c>
    </row>
    <row r="5" spans="1:11" s="140" customFormat="1" ht="20.25" customHeight="1" x14ac:dyDescent="0.2">
      <c r="A5" s="3"/>
      <c r="B5" s="75"/>
      <c r="C5" s="141" t="s">
        <v>8</v>
      </c>
      <c r="D5" s="724" t="s">
        <v>9</v>
      </c>
      <c r="E5" s="725" t="s">
        <v>10</v>
      </c>
      <c r="F5" s="1263"/>
      <c r="G5" s="724" t="s">
        <v>11</v>
      </c>
      <c r="H5" s="725" t="s">
        <v>12</v>
      </c>
      <c r="I5" s="1267"/>
      <c r="J5" s="1264"/>
      <c r="K5" s="1265"/>
    </row>
    <row r="6" spans="1:11" ht="16.5" customHeight="1" x14ac:dyDescent="0.2">
      <c r="A6"/>
      <c r="B6" s="1257" t="s">
        <v>13</v>
      </c>
      <c r="C6" s="716" t="s">
        <v>14</v>
      </c>
      <c r="D6" s="726">
        <f>-SUMIFS(Table13[Montant],Table13[Montant],"&lt;0",Table13[ACTIVITES],$C6)</f>
        <v>600</v>
      </c>
      <c r="E6" s="727">
        <f>SUMIFS(Table13[Montant],Table13[Montant],"&gt;0",Table13[ACTIVITES],$C6)</f>
        <v>0</v>
      </c>
      <c r="F6" s="728">
        <f t="shared" ref="F6:F11" si="0">E6-D6</f>
        <v>-600</v>
      </c>
      <c r="G6" s="752">
        <f>-SUMIFS('Liste prévisionnel'!E:E,'Liste prévisionnel'!E:E,"&lt;0",'Liste prévisionnel'!M:M,C6)</f>
        <v>0</v>
      </c>
      <c r="H6" s="753">
        <f>SUMIFS('Liste prévisionnel'!E:E,'Liste prévisionnel'!E:E,"&gt;0",'Liste prévisionnel'!M:M,C6)</f>
        <v>0</v>
      </c>
      <c r="I6" s="728">
        <f t="shared" ref="I6:I10" si="1">H6-G6</f>
        <v>0</v>
      </c>
      <c r="J6" s="750">
        <f>F6-I6</f>
        <v>-600</v>
      </c>
      <c r="K6" s="897"/>
    </row>
    <row r="7" spans="1:11" ht="16.5" customHeight="1" x14ac:dyDescent="0.2">
      <c r="A7"/>
      <c r="B7" s="1257"/>
      <c r="C7" s="716" t="s">
        <v>15</v>
      </c>
      <c r="D7" s="726">
        <f>-SUMIFS(Table13[Montant],Table13[Montant],"&lt;0",Table13[ACTIVITES],$C7)</f>
        <v>480</v>
      </c>
      <c r="E7" s="727">
        <f>SUMIFS(Table13[Montant],Table13[Montant],"&gt;0",Table13[ACTIVITES],$C7)</f>
        <v>0</v>
      </c>
      <c r="F7" s="728">
        <f t="shared" si="0"/>
        <v>-480</v>
      </c>
      <c r="G7" s="752">
        <f>-SUMIFS('Liste prévisionnel'!E:E,'Liste prévisionnel'!E:E,"&lt;0",'Liste prévisionnel'!M:M,C7)</f>
        <v>0</v>
      </c>
      <c r="H7" s="753">
        <f>SUMIFS('Liste prévisionnel'!E:E,'Liste prévisionnel'!E:E,"&gt;0",'Liste prévisionnel'!M:M,C7)</f>
        <v>0</v>
      </c>
      <c r="I7" s="728">
        <f t="shared" si="1"/>
        <v>0</v>
      </c>
      <c r="J7" s="750">
        <f>F7-I7</f>
        <v>-480</v>
      </c>
      <c r="K7" s="897"/>
    </row>
    <row r="8" spans="1:11" ht="16.5" hidden="1" customHeight="1" x14ac:dyDescent="0.2">
      <c r="A8"/>
      <c r="B8" s="1257"/>
      <c r="C8" s="716" t="s">
        <v>16</v>
      </c>
      <c r="D8" s="726">
        <f>-SUMIFS(Table13[Montant],Table13[Montant],"&lt;0",Table13[ACTIVITES],$C8)</f>
        <v>0</v>
      </c>
      <c r="E8" s="727">
        <f>SUMIFS(Table13[Montant],Table13[Montant],"&gt;0",Table13[ACTIVITES],$C8)</f>
        <v>0</v>
      </c>
      <c r="F8" s="728">
        <f t="shared" si="0"/>
        <v>0</v>
      </c>
      <c r="G8" s="752">
        <f>-SUMIFS('Liste prévisionnel'!E:E,'Liste prévisionnel'!E:E,"&lt;0",'Liste prévisionnel'!M:M,C8)</f>
        <v>0</v>
      </c>
      <c r="H8" s="753">
        <f>SUMIFS('Liste prévisionnel'!E:E,'Liste prévisionnel'!E:E,"&gt;0",'Liste prévisionnel'!M:M,C8)</f>
        <v>0</v>
      </c>
      <c r="I8" s="728">
        <f t="shared" si="1"/>
        <v>0</v>
      </c>
      <c r="J8" s="750"/>
      <c r="K8" s="897"/>
    </row>
    <row r="9" spans="1:11" ht="16.5" customHeight="1" x14ac:dyDescent="0.2">
      <c r="A9"/>
      <c r="B9" s="1257"/>
      <c r="C9" s="716" t="s">
        <v>17</v>
      </c>
      <c r="D9" s="726">
        <f>-SUMIFS(Table13[Montant],Table13[Montant],"&lt;0",Table13[ACTIVITES],$C9)</f>
        <v>1952.97</v>
      </c>
      <c r="E9" s="727">
        <f>SUMIFS(Table13[Montant],Table13[Montant],"&gt;0",Table13[ACTIVITES],$C9)</f>
        <v>1952.97</v>
      </c>
      <c r="F9" s="728">
        <f t="shared" si="0"/>
        <v>0</v>
      </c>
      <c r="G9" s="752">
        <f>-SUMIFS('Liste prévisionnel'!E:E,'Liste prévisionnel'!E:E,"&lt;0",'Liste prévisionnel'!M:M,C9)</f>
        <v>0</v>
      </c>
      <c r="H9" s="753">
        <f>SUMIFS('Liste prévisionnel'!E:E,'Liste prévisionnel'!E:E,"&gt;0",'Liste prévisionnel'!M:M,C9)</f>
        <v>0</v>
      </c>
      <c r="I9" s="728">
        <f t="shared" si="1"/>
        <v>0</v>
      </c>
      <c r="J9" s="750">
        <f>F9-I9</f>
        <v>0</v>
      </c>
      <c r="K9" s="897"/>
    </row>
    <row r="10" spans="1:11" ht="16.5" customHeight="1" x14ac:dyDescent="0.2">
      <c r="A10"/>
      <c r="B10" s="1257"/>
      <c r="C10" s="716" t="s">
        <v>18</v>
      </c>
      <c r="D10" s="726">
        <f>-SUMIFS(Table13[Montant],Table13[Montant],"&lt;0",Table13[ACTIVITES],$C10)</f>
        <v>200</v>
      </c>
      <c r="E10" s="727">
        <f>SUMIFS(Table13[Montant],Table13[Montant],"&gt;0",Table13[ACTIVITES],$C10)</f>
        <v>200</v>
      </c>
      <c r="F10" s="728">
        <f t="shared" si="0"/>
        <v>0</v>
      </c>
      <c r="G10" s="752">
        <f>-SUMIFS('Liste prévisionnel'!E:E,'Liste prévisionnel'!E:E,"&lt;0",'Liste prévisionnel'!M:M,C10)</f>
        <v>0</v>
      </c>
      <c r="H10" s="753">
        <f>SUMIFS('Liste prévisionnel'!E:E,'Liste prévisionnel'!E:E,"&gt;0",'Liste prévisionnel'!M:M,C10)</f>
        <v>0</v>
      </c>
      <c r="I10" s="728">
        <f t="shared" si="1"/>
        <v>0</v>
      </c>
      <c r="J10" s="750">
        <f>F10-I10</f>
        <v>0</v>
      </c>
      <c r="K10" s="897"/>
    </row>
    <row r="11" spans="1:11" ht="16.5" customHeight="1" x14ac:dyDescent="0.2">
      <c r="A11"/>
      <c r="B11" s="1257"/>
      <c r="C11" s="717" t="s">
        <v>19</v>
      </c>
      <c r="D11" s="729">
        <f>SUM(D6:D10)</f>
        <v>3232.9700000000003</v>
      </c>
      <c r="E11" s="730">
        <f>SUM(E6:E10)</f>
        <v>2152.9700000000003</v>
      </c>
      <c r="F11" s="731">
        <f t="shared" si="0"/>
        <v>-1080</v>
      </c>
      <c r="G11" s="729">
        <f>SUM(G6:G10)</f>
        <v>0</v>
      </c>
      <c r="H11" s="730">
        <f>SUM(H6:H10)</f>
        <v>0</v>
      </c>
      <c r="I11" s="731">
        <f>H11-G11</f>
        <v>0</v>
      </c>
      <c r="J11" s="751">
        <f>SUM(J6:J10)</f>
        <v>-1080</v>
      </c>
      <c r="K11" s="730">
        <f>SUM(K6:K10)</f>
        <v>0</v>
      </c>
    </row>
    <row r="12" spans="1:11" ht="21" customHeight="1" x14ac:dyDescent="0.2">
      <c r="A12"/>
      <c r="B12" s="7"/>
      <c r="C12" s="142"/>
      <c r="D12" s="732"/>
      <c r="E12" s="733"/>
      <c r="F12" s="734"/>
      <c r="G12" s="754"/>
      <c r="H12" s="143"/>
      <c r="I12" s="734"/>
      <c r="J12" s="144"/>
      <c r="K12" s="144"/>
    </row>
    <row r="13" spans="1:11" x14ac:dyDescent="0.2">
      <c r="A13"/>
      <c r="B13" s="1255" t="s">
        <v>20</v>
      </c>
      <c r="C13" s="716" t="s">
        <v>21</v>
      </c>
      <c r="D13" s="726">
        <f>-SUMIFS(Table13[Montant],Table13[Montant],"&lt;0",Table13[ACTIVITES],$C13)</f>
        <v>5680</v>
      </c>
      <c r="E13" s="727">
        <f>SUMIFS(Table13[Montant],Table13[Montant],"&gt;0",Table13[ACTIVITES],$C13)</f>
        <v>6000</v>
      </c>
      <c r="F13" s="728">
        <f t="shared" ref="F13:F18" si="2">E13-D13</f>
        <v>320</v>
      </c>
      <c r="G13" s="752">
        <f>CHARGES!AE61</f>
        <v>6000</v>
      </c>
      <c r="H13" s="753">
        <f>PRODUITS!AE42</f>
        <v>6000</v>
      </c>
      <c r="I13" s="728">
        <f t="shared" ref="I13:I17" si="3">H13-G13</f>
        <v>0</v>
      </c>
      <c r="J13" s="750">
        <f>F13-I13</f>
        <v>320</v>
      </c>
      <c r="K13" s="897"/>
    </row>
    <row r="14" spans="1:11" hidden="1" x14ac:dyDescent="0.2">
      <c r="A14"/>
      <c r="B14" s="1255"/>
      <c r="C14" s="716" t="s">
        <v>22</v>
      </c>
      <c r="D14" s="735">
        <f>CHARGES!I61</f>
        <v>0</v>
      </c>
      <c r="E14" s="736">
        <f>PRODUITS!I42</f>
        <v>0</v>
      </c>
      <c r="F14" s="728">
        <f t="shared" si="2"/>
        <v>0</v>
      </c>
      <c r="G14" s="752">
        <f>CHARGES!AF61</f>
        <v>0</v>
      </c>
      <c r="H14" s="753">
        <f>PRODUITS!AF42</f>
        <v>0</v>
      </c>
      <c r="I14" s="728">
        <f t="shared" si="3"/>
        <v>0</v>
      </c>
      <c r="J14" s="750"/>
      <c r="K14" s="897"/>
    </row>
    <row r="15" spans="1:11" hidden="1" x14ac:dyDescent="0.2">
      <c r="A15"/>
      <c r="B15" s="1255"/>
      <c r="C15" s="716" t="s">
        <v>23</v>
      </c>
      <c r="D15" s="735">
        <f>CHARGES!J61</f>
        <v>0</v>
      </c>
      <c r="E15" s="736">
        <f>PRODUITS!J42</f>
        <v>0</v>
      </c>
      <c r="F15" s="728">
        <f t="shared" si="2"/>
        <v>0</v>
      </c>
      <c r="G15" s="752">
        <f>CHARGES!AG61</f>
        <v>0</v>
      </c>
      <c r="H15" s="753">
        <f>PRODUITS!AG42</f>
        <v>0</v>
      </c>
      <c r="I15" s="728">
        <f t="shared" si="3"/>
        <v>0</v>
      </c>
      <c r="J15" s="750"/>
      <c r="K15" s="897"/>
    </row>
    <row r="16" spans="1:11" x14ac:dyDescent="0.2">
      <c r="A16"/>
      <c r="B16" s="1255"/>
      <c r="C16" s="716" t="s">
        <v>24</v>
      </c>
      <c r="D16" s="726">
        <f>-SUMIFS(Table13[Montant],Table13[Montant],"&lt;0",Table13[ACTIVITES],$C16)</f>
        <v>12332</v>
      </c>
      <c r="E16" s="727">
        <f>SUMIFS(Table13[Montant],Table13[Montant],"&gt;0",Table13[ACTIVITES],$C16)</f>
        <v>10400</v>
      </c>
      <c r="F16" s="728">
        <f t="shared" si="2"/>
        <v>-1932</v>
      </c>
      <c r="G16" s="752">
        <f>CHARGES!AH61</f>
        <v>12680</v>
      </c>
      <c r="H16" s="753">
        <f>PRODUITS!AH42</f>
        <v>11375</v>
      </c>
      <c r="I16" s="728">
        <f t="shared" si="3"/>
        <v>-1305</v>
      </c>
      <c r="J16" s="750">
        <f>F16-I16</f>
        <v>-627</v>
      </c>
      <c r="K16" s="897"/>
    </row>
    <row r="17" spans="1:11" hidden="1" x14ac:dyDescent="0.2">
      <c r="A17"/>
      <c r="B17" s="1255"/>
      <c r="C17" s="716" t="s">
        <v>25</v>
      </c>
      <c r="D17" s="735">
        <f>CHARGES!L61</f>
        <v>0</v>
      </c>
      <c r="E17" s="736">
        <f>PRODUITS!L42</f>
        <v>0</v>
      </c>
      <c r="F17" s="728">
        <f t="shared" si="2"/>
        <v>0</v>
      </c>
      <c r="G17" s="752">
        <f>CHARGES!AI61</f>
        <v>0</v>
      </c>
      <c r="H17" s="753">
        <f>PRODUITS!AI42</f>
        <v>0</v>
      </c>
      <c r="I17" s="728">
        <f t="shared" si="3"/>
        <v>0</v>
      </c>
      <c r="J17" s="750"/>
      <c r="K17" s="897"/>
    </row>
    <row r="18" spans="1:11" x14ac:dyDescent="0.2">
      <c r="A18"/>
      <c r="B18" s="1255"/>
      <c r="C18" s="717" t="s">
        <v>19</v>
      </c>
      <c r="D18" s="729">
        <f>SUM(D13:D17)</f>
        <v>18012</v>
      </c>
      <c r="E18" s="737">
        <f>SUM(E13:E17)</f>
        <v>16400</v>
      </c>
      <c r="F18" s="731">
        <f t="shared" si="2"/>
        <v>-1612</v>
      </c>
      <c r="G18" s="729">
        <f>SUM(G13:G17)</f>
        <v>18680</v>
      </c>
      <c r="H18" s="737">
        <f>SUM(H13:H17)</f>
        <v>17375</v>
      </c>
      <c r="I18" s="731">
        <f t="shared" ref="I18" si="4">H18-G18</f>
        <v>-1305</v>
      </c>
      <c r="J18" s="751">
        <f>SUM(J13:J17)</f>
        <v>-307</v>
      </c>
      <c r="K18" s="730">
        <f>SUM(K13:K17)</f>
        <v>0</v>
      </c>
    </row>
    <row r="19" spans="1:11" ht="12.75" x14ac:dyDescent="0.2">
      <c r="A19"/>
      <c r="B19" s="7"/>
      <c r="C19" s="142"/>
      <c r="D19" s="732"/>
      <c r="E19" s="733"/>
      <c r="F19" s="734"/>
      <c r="G19" s="754"/>
      <c r="H19" s="143"/>
      <c r="I19" s="734"/>
      <c r="J19" s="144"/>
      <c r="K19" s="144"/>
    </row>
    <row r="20" spans="1:11" x14ac:dyDescent="0.2">
      <c r="A20"/>
      <c r="B20" s="1256" t="s">
        <v>26</v>
      </c>
      <c r="C20" s="716" t="s">
        <v>27</v>
      </c>
      <c r="D20" s="726">
        <f>-SUMIFS(Table13[Montant],Table13[Montant],"&lt;0",Table13[ACTIVITES],$C20)</f>
        <v>8040</v>
      </c>
      <c r="E20" s="727">
        <f>SUMIFS(Table13[Montant],Table13[Montant],"&gt;0",Table13[ACTIVITES],$C20)</f>
        <v>8550</v>
      </c>
      <c r="F20" s="728">
        <f t="shared" ref="F20:F26" si="5">E20-D20</f>
        <v>510</v>
      </c>
      <c r="G20" s="752">
        <f>CHARGES!AJ61</f>
        <v>8040</v>
      </c>
      <c r="H20" s="753">
        <f>PRODUITS!AJ42</f>
        <v>8550</v>
      </c>
      <c r="I20" s="728">
        <f t="shared" ref="I20:I25" si="6">H20-G20</f>
        <v>510</v>
      </c>
      <c r="J20" s="750">
        <f>F20-I20</f>
        <v>0</v>
      </c>
      <c r="K20" s="897"/>
    </row>
    <row r="21" spans="1:11" hidden="1" x14ac:dyDescent="0.2">
      <c r="A21"/>
      <c r="B21" s="1256"/>
      <c r="C21" s="716" t="s">
        <v>28</v>
      </c>
      <c r="D21" s="726">
        <f>-SUMIFS(Table13[Montant],Table13[Montant],"&lt;0",Table13[ACTIVITES],$C21)</f>
        <v>0</v>
      </c>
      <c r="E21" s="727">
        <f>SUMIFS(Table13[Montant],Table13[Montant],"&gt;0",Table13[ACTIVITES],$C21)</f>
        <v>0</v>
      </c>
      <c r="F21" s="728">
        <f t="shared" si="5"/>
        <v>0</v>
      </c>
      <c r="G21" s="752">
        <f>CHARGES!AK61</f>
        <v>0</v>
      </c>
      <c r="H21" s="753">
        <f>PRODUITS!AK42</f>
        <v>0</v>
      </c>
      <c r="I21" s="728">
        <f t="shared" si="6"/>
        <v>0</v>
      </c>
      <c r="J21" s="750"/>
      <c r="K21" s="897"/>
    </row>
    <row r="22" spans="1:11" x14ac:dyDescent="0.2">
      <c r="A22"/>
      <c r="B22" s="1256"/>
      <c r="C22" s="716" t="s">
        <v>29</v>
      </c>
      <c r="D22" s="726">
        <f>-SUMIFS(Table13[Montant],Table13[Montant],"&lt;0",Table13[ACTIVITES],$C22)</f>
        <v>0</v>
      </c>
      <c r="E22" s="727">
        <f>SUMIFS(Table13[Montant],Table13[Montant],"&gt;0",Table13[ACTIVITES],$C22)</f>
        <v>3000</v>
      </c>
      <c r="F22" s="728">
        <f t="shared" si="5"/>
        <v>3000</v>
      </c>
      <c r="G22" s="752">
        <f>CHARGES!AL61</f>
        <v>18536.8</v>
      </c>
      <c r="H22" s="753">
        <f>PRODUITS!AL42</f>
        <v>25500</v>
      </c>
      <c r="I22" s="728">
        <f t="shared" si="6"/>
        <v>6963.2000000000007</v>
      </c>
      <c r="J22" s="750">
        <f>F22-I22</f>
        <v>-3963.2000000000007</v>
      </c>
      <c r="K22" s="897"/>
    </row>
    <row r="23" spans="1:11" hidden="1" x14ac:dyDescent="0.2">
      <c r="A23"/>
      <c r="B23" s="1256"/>
      <c r="C23" s="716" t="s">
        <v>30</v>
      </c>
      <c r="D23" s="726">
        <f>-SUMIFS(Table13[Montant],Table13[Montant],"&lt;0",Table13[ACTIVITES],$C23)</f>
        <v>0</v>
      </c>
      <c r="E23" s="727">
        <f>SUMIFS(Table13[Montant],Table13[Montant],"&gt;0",Table13[ACTIVITES],$C23)</f>
        <v>0</v>
      </c>
      <c r="F23" s="728">
        <f t="shared" si="5"/>
        <v>0</v>
      </c>
      <c r="G23" s="752">
        <f>CHARGES!AM61</f>
        <v>0</v>
      </c>
      <c r="H23" s="753">
        <f>PRODUITS!AM42</f>
        <v>0</v>
      </c>
      <c r="I23" s="728">
        <f t="shared" si="6"/>
        <v>0</v>
      </c>
      <c r="J23" s="750"/>
      <c r="K23" s="897"/>
    </row>
    <row r="24" spans="1:11" hidden="1" x14ac:dyDescent="0.2">
      <c r="A24"/>
      <c r="B24" s="1256"/>
      <c r="C24" s="716" t="s">
        <v>31</v>
      </c>
      <c r="D24" s="726">
        <f>-SUMIFS(Table13[Montant],Table13[Montant],"&lt;0",Table13[ACTIVITES],$C24)</f>
        <v>0</v>
      </c>
      <c r="E24" s="727">
        <f>SUMIFS(Table13[Montant],Table13[Montant],"&gt;0",Table13[ACTIVITES],$C24)</f>
        <v>0</v>
      </c>
      <c r="F24" s="728">
        <f t="shared" si="5"/>
        <v>0</v>
      </c>
      <c r="G24" s="752">
        <f>CHARGES!AN61</f>
        <v>0</v>
      </c>
      <c r="H24" s="753">
        <f>PRODUITS!AN42</f>
        <v>0</v>
      </c>
      <c r="I24" s="728">
        <f t="shared" si="6"/>
        <v>0</v>
      </c>
      <c r="J24" s="750"/>
      <c r="K24" s="897"/>
    </row>
    <row r="25" spans="1:11" x14ac:dyDescent="0.2">
      <c r="A25"/>
      <c r="B25" s="1256"/>
      <c r="C25" s="716" t="s">
        <v>32</v>
      </c>
      <c r="D25" s="726">
        <f>-SUMIFS(Table13[Montant],Table13[Montant],"&lt;0",Table13[ACTIVITES],$C25)</f>
        <v>895.65</v>
      </c>
      <c r="E25" s="727">
        <f>SUMIFS(Table13[Montant],Table13[Montant],"&gt;0",Table13[ACTIVITES],$C25)</f>
        <v>900</v>
      </c>
      <c r="F25" s="728">
        <f t="shared" si="5"/>
        <v>4.3500000000000227</v>
      </c>
      <c r="G25" s="752">
        <f>CHARGES!AO61</f>
        <v>0</v>
      </c>
      <c r="H25" s="753">
        <f>PRODUITS!AO42</f>
        <v>0</v>
      </c>
      <c r="I25" s="728">
        <f t="shared" si="6"/>
        <v>0</v>
      </c>
      <c r="J25" s="750">
        <f>F25-I25</f>
        <v>4.3500000000000227</v>
      </c>
      <c r="K25" s="897"/>
    </row>
    <row r="26" spans="1:11" x14ac:dyDescent="0.2">
      <c r="A26"/>
      <c r="B26" s="1256"/>
      <c r="C26" s="717" t="s">
        <v>19</v>
      </c>
      <c r="D26" s="729">
        <f>SUM(D20:D25)</f>
        <v>8935.65</v>
      </c>
      <c r="E26" s="737">
        <f>SUM(E20:E25)</f>
        <v>12450</v>
      </c>
      <c r="F26" s="738">
        <f t="shared" si="5"/>
        <v>3514.3500000000004</v>
      </c>
      <c r="G26" s="729">
        <f>SUM(G20:G25)</f>
        <v>26576.799999999999</v>
      </c>
      <c r="H26" s="737">
        <f>SUM(H20:H25)</f>
        <v>34050</v>
      </c>
      <c r="I26" s="738">
        <f t="shared" ref="I26" si="7">H26-G26</f>
        <v>7473.2000000000007</v>
      </c>
      <c r="J26" s="719">
        <f>SUM(J20:J25)</f>
        <v>-3958.8500000000008</v>
      </c>
      <c r="K26" s="737">
        <f>SUM(K20:K25)</f>
        <v>0</v>
      </c>
    </row>
    <row r="27" spans="1:11" s="135" customFormat="1" ht="16.5" customHeight="1" x14ac:dyDescent="0.2">
      <c r="A27"/>
      <c r="B27" s="7"/>
      <c r="C27" s="7"/>
      <c r="D27" s="739"/>
      <c r="E27" s="740"/>
      <c r="F27" s="741"/>
      <c r="G27" s="739"/>
      <c r="H27" s="740"/>
      <c r="I27" s="741"/>
      <c r="J27" s="145"/>
      <c r="K27" s="145"/>
    </row>
    <row r="28" spans="1:11" ht="24" x14ac:dyDescent="0.2">
      <c r="A28"/>
      <c r="B28" s="1257" t="s">
        <v>33</v>
      </c>
      <c r="C28" s="718" t="s">
        <v>34</v>
      </c>
      <c r="D28" s="726">
        <f>-SUMIFS(Table13[Montant],Table13[Montant],"&lt;0",Table13[ACTIVITES],$C28)</f>
        <v>14715.4</v>
      </c>
      <c r="E28" s="727">
        <f>SUMIFS(Table13[Montant],Table13[Montant],"&gt;0",Table13[ACTIVITES],$C28)</f>
        <v>13720</v>
      </c>
      <c r="F28" s="728">
        <f>E28-D28</f>
        <v>-995.39999999999964</v>
      </c>
      <c r="G28" s="752">
        <f>CHARGES!AP61</f>
        <v>15811.05</v>
      </c>
      <c r="H28" s="753">
        <f>PRODUITS!AP42</f>
        <v>11606.56291666668</v>
      </c>
      <c r="I28" s="728">
        <f>H28-G28</f>
        <v>-4204.4870833333189</v>
      </c>
      <c r="J28" s="750">
        <f>F28-I28</f>
        <v>3209.0870833333192</v>
      </c>
      <c r="K28" s="897"/>
    </row>
    <row r="29" spans="1:11" hidden="1" x14ac:dyDescent="0.2">
      <c r="A29"/>
      <c r="B29" s="1257"/>
      <c r="C29" s="718" t="s">
        <v>35</v>
      </c>
      <c r="D29" s="735">
        <f>CHARGES!T61</f>
        <v>0</v>
      </c>
      <c r="E29" s="736">
        <f>PRODUITS!T42</f>
        <v>0</v>
      </c>
      <c r="F29" s="728">
        <f>E29-D29</f>
        <v>0</v>
      </c>
      <c r="G29" s="752">
        <f>CHARGES!AQ61</f>
        <v>0</v>
      </c>
      <c r="H29" s="753">
        <f>PRODUITS!AQ42</f>
        <v>0</v>
      </c>
      <c r="I29" s="728">
        <f>H29-G29</f>
        <v>0</v>
      </c>
      <c r="J29" s="750"/>
      <c r="K29" s="897"/>
    </row>
    <row r="30" spans="1:11" x14ac:dyDescent="0.2">
      <c r="A30"/>
      <c r="B30" s="1257"/>
      <c r="C30" s="717" t="s">
        <v>19</v>
      </c>
      <c r="D30" s="729">
        <f>SUM(D28:D29)</f>
        <v>14715.4</v>
      </c>
      <c r="E30" s="737">
        <f>SUM(E28:E29)</f>
        <v>13720</v>
      </c>
      <c r="F30" s="738">
        <f>E30-D30</f>
        <v>-995.39999999999964</v>
      </c>
      <c r="G30" s="729">
        <f>SUM(G28:G29)</f>
        <v>15811.05</v>
      </c>
      <c r="H30" s="737">
        <f>SUM(H28:H29)</f>
        <v>11606.56291666668</v>
      </c>
      <c r="I30" s="738">
        <f>H30-G30</f>
        <v>-4204.4870833333189</v>
      </c>
      <c r="J30" s="719">
        <f>SUM(J28:J29)</f>
        <v>3209.0870833333192</v>
      </c>
      <c r="K30" s="737">
        <f>SUM(K28:K29)</f>
        <v>0</v>
      </c>
    </row>
    <row r="31" spans="1:11" ht="21.75" hidden="1" customHeight="1" x14ac:dyDescent="0.2">
      <c r="A31"/>
      <c r="B31" s="7"/>
      <c r="C31" s="142"/>
      <c r="D31" s="732"/>
      <c r="E31" s="733"/>
      <c r="F31" s="734"/>
      <c r="G31" s="754"/>
      <c r="H31" s="143"/>
      <c r="I31" s="734"/>
      <c r="J31" s="144"/>
      <c r="K31" s="144"/>
    </row>
    <row r="32" spans="1:11" ht="16.5" hidden="1" customHeight="1" x14ac:dyDescent="0.2">
      <c r="A32"/>
      <c r="B32" s="1258" t="s">
        <v>36</v>
      </c>
      <c r="C32" s="718" t="s">
        <v>37</v>
      </c>
      <c r="D32" s="735">
        <f>CHARGES!U61</f>
        <v>0</v>
      </c>
      <c r="E32" s="736">
        <f>PRODUITS!U42</f>
        <v>0</v>
      </c>
      <c r="F32" s="728">
        <f>E32-D32</f>
        <v>0</v>
      </c>
      <c r="G32" s="752">
        <f>CHARGES!AR61</f>
        <v>0</v>
      </c>
      <c r="H32" s="753">
        <f>PRODUITS!AR42</f>
        <v>0</v>
      </c>
      <c r="I32" s="728">
        <f>H32-G32</f>
        <v>0</v>
      </c>
      <c r="J32" s="750"/>
      <c r="K32" s="897"/>
    </row>
    <row r="33" spans="1:11" ht="16.5" hidden="1" customHeight="1" x14ac:dyDescent="0.2">
      <c r="A33"/>
      <c r="B33" s="1258"/>
      <c r="C33" s="718" t="s">
        <v>38</v>
      </c>
      <c r="D33" s="735">
        <f>CHARGES!V61</f>
        <v>0</v>
      </c>
      <c r="E33" s="736">
        <f>PRODUITS!V42</f>
        <v>0</v>
      </c>
      <c r="F33" s="728">
        <f>E33-D33</f>
        <v>0</v>
      </c>
      <c r="G33" s="752">
        <f>CHARGES!AS61</f>
        <v>0</v>
      </c>
      <c r="H33" s="753">
        <f>PRODUITS!AS42</f>
        <v>0</v>
      </c>
      <c r="I33" s="728">
        <f>H33-G33</f>
        <v>0</v>
      </c>
      <c r="J33" s="750"/>
      <c r="K33" s="897"/>
    </row>
    <row r="34" spans="1:11" ht="16.5" hidden="1" customHeight="1" x14ac:dyDescent="0.2">
      <c r="A34"/>
      <c r="B34" s="1258"/>
      <c r="C34" s="718" t="s">
        <v>39</v>
      </c>
      <c r="D34" s="735">
        <f>CHARGES!W61</f>
        <v>0</v>
      </c>
      <c r="E34" s="736">
        <f>PRODUITS!W42</f>
        <v>0</v>
      </c>
      <c r="F34" s="728">
        <f>E34-D34</f>
        <v>0</v>
      </c>
      <c r="G34" s="752">
        <f>CHARGES!AT61</f>
        <v>0</v>
      </c>
      <c r="H34" s="753">
        <f>PRODUITS!AT42</f>
        <v>0</v>
      </c>
      <c r="I34" s="728">
        <f>H34-G34</f>
        <v>0</v>
      </c>
      <c r="J34" s="750"/>
      <c r="K34" s="897"/>
    </row>
    <row r="35" spans="1:11" ht="16.5" hidden="1" customHeight="1" x14ac:dyDescent="0.2">
      <c r="A35"/>
      <c r="B35" s="1258"/>
      <c r="C35" s="718" t="s">
        <v>40</v>
      </c>
      <c r="D35" s="735">
        <f>CHARGES!X61</f>
        <v>0</v>
      </c>
      <c r="E35" s="736">
        <f>PRODUITS!X42</f>
        <v>0</v>
      </c>
      <c r="F35" s="728">
        <f>E35-D35</f>
        <v>0</v>
      </c>
      <c r="G35" s="752">
        <f>CHARGES!AU61</f>
        <v>0</v>
      </c>
      <c r="H35" s="753">
        <f>PRODUITS!AU42</f>
        <v>0</v>
      </c>
      <c r="I35" s="728">
        <f>H35-G35</f>
        <v>0</v>
      </c>
      <c r="J35" s="750"/>
      <c r="K35" s="897"/>
    </row>
    <row r="36" spans="1:11" ht="16.5" hidden="1" customHeight="1" x14ac:dyDescent="0.2">
      <c r="A36"/>
      <c r="B36" s="1258"/>
      <c r="C36" s="717" t="s">
        <v>19</v>
      </c>
      <c r="D36" s="729">
        <f>SUM(D32:D35)</f>
        <v>0</v>
      </c>
      <c r="E36" s="737">
        <f>SUM(E32:E35)</f>
        <v>0</v>
      </c>
      <c r="F36" s="738">
        <f>E36-D36</f>
        <v>0</v>
      </c>
      <c r="G36" s="729">
        <f>SUM(G32:G35)</f>
        <v>0</v>
      </c>
      <c r="H36" s="737">
        <f>SUM(H32:H35)</f>
        <v>0</v>
      </c>
      <c r="I36" s="738">
        <f>H36-G36</f>
        <v>0</v>
      </c>
      <c r="J36" s="719">
        <f>SUM(J32:J35)</f>
        <v>0</v>
      </c>
      <c r="K36" s="737">
        <f>SUM(K32:K35)</f>
        <v>0</v>
      </c>
    </row>
    <row r="37" spans="1:11" ht="12.75" x14ac:dyDescent="0.2">
      <c r="A37"/>
      <c r="B37" s="7"/>
      <c r="C37" s="142"/>
      <c r="D37" s="732"/>
      <c r="E37" s="733"/>
      <c r="F37" s="734"/>
      <c r="G37" s="754"/>
      <c r="H37" s="143"/>
      <c r="I37" s="734"/>
      <c r="J37" s="144"/>
      <c r="K37" s="144"/>
    </row>
    <row r="38" spans="1:11" ht="20.25" customHeight="1" x14ac:dyDescent="0.2">
      <c r="A38"/>
      <c r="B38" s="1259" t="s">
        <v>41</v>
      </c>
      <c r="C38" s="1260"/>
      <c r="D38" s="742">
        <f t="shared" ref="D38:K38" si="8">SUM(D36,D26,D18,D30,D11)</f>
        <v>44896.020000000004</v>
      </c>
      <c r="E38" s="743">
        <f t="shared" si="8"/>
        <v>44722.97</v>
      </c>
      <c r="F38" s="744">
        <f t="shared" si="8"/>
        <v>-173.04999999999927</v>
      </c>
      <c r="G38" s="742">
        <f t="shared" si="8"/>
        <v>61067.850000000006</v>
      </c>
      <c r="H38" s="743">
        <f t="shared" si="8"/>
        <v>63031.562916666677</v>
      </c>
      <c r="I38" s="744">
        <f t="shared" si="8"/>
        <v>1963.7129166666818</v>
      </c>
      <c r="J38" s="720">
        <f t="shared" si="8"/>
        <v>-2136.7629166666811</v>
      </c>
      <c r="K38" s="743">
        <f t="shared" si="8"/>
        <v>0</v>
      </c>
    </row>
    <row r="39" spans="1:11" hidden="1" x14ac:dyDescent="0.2">
      <c r="D39" s="745"/>
      <c r="F39" s="746"/>
      <c r="G39" s="745"/>
      <c r="I39" s="746"/>
    </row>
    <row r="40" spans="1:11" ht="23.25" hidden="1" customHeight="1" x14ac:dyDescent="0.2">
      <c r="B40" s="1253" t="s">
        <v>42</v>
      </c>
      <c r="C40" s="1254"/>
      <c r="D40" s="742">
        <f>'SLA V1'!E61+'SLA V1'!F61+'SLA V1'!G61+'SLA V1'!H61+'SLA V1'!I61+'SLA V1'!J61+'SLA V1'!K61+'SLA V1'!L61+'SLA V1'!M61+'SLA V1'!N61+'SLA V1'!O61+'SLA V1'!P61+'SLA V1'!Q61+'SLA V1'!R61+'SLA V1'!S61+'SLA V1'!T61+'SLA V1'!U61+'SLA V1'!V61</f>
        <v>0</v>
      </c>
      <c r="E40" s="743">
        <f>'SLA V1'!AB61+'SLA V1'!AC61+'SLA V1'!AD61+'SLA V1'!AE61+'SLA V1'!AF61+'SLA V1'!AG61+'SLA V1'!AH61+'SLA V1'!AI61+'SLA V1'!AJ61+'SLA V1'!AK61+'SLA V1'!AL61+'SLA V1'!AM61+'SLA V1'!AN61+'SLA V1'!AO61+'SLA V1'!AP61+'SLA V1'!AQ61+'SLA V1'!AR61+'SLA V1'!AS61+'SLA V1'!AT61+'SLA V1'!AU61+'SLA V1'!AV61</f>
        <v>0</v>
      </c>
      <c r="F40" s="744">
        <f>E40-D40</f>
        <v>0</v>
      </c>
      <c r="G40" s="742">
        <f>'SLA V2 '!E61+'SLA V2 '!F61+'SLA V2 '!G61+'SLA V2 '!H61+'SLA V2 '!I61+'SLA V2 '!J61+'SLA V2 '!K61+'SLA V2 '!L61+'SLA V2 '!M61+'SLA V2 '!T61+'SLA V2 '!U61</f>
        <v>0</v>
      </c>
      <c r="H40" s="743">
        <f>'SLA V2 '!Z61+'SLA V2 '!AA61+'SLA V2 '!AB61+'SLA V2 '!AC61+'SLA V2 '!AD61+'SLA V2 '!AE61+'SLA V2 '!AF61+'SLA V2 '!AG61+'SLA V2 '!AH61+'SLA V2 '!AO61+'SLA V2 '!AP61</f>
        <v>0</v>
      </c>
      <c r="I40" s="744">
        <f>H40-G40</f>
        <v>0</v>
      </c>
      <c r="J40" s="720"/>
      <c r="K40" s="743"/>
    </row>
    <row r="41" spans="1:11" ht="12.75" thickBot="1" x14ac:dyDescent="0.25">
      <c r="D41" s="747"/>
      <c r="E41" s="748"/>
      <c r="F41" s="749"/>
      <c r="G41" s="747"/>
      <c r="H41" s="748"/>
      <c r="I41" s="749"/>
    </row>
    <row r="42" spans="1:11" ht="24.75" hidden="1" customHeight="1" x14ac:dyDescent="0.2">
      <c r="B42" s="1253" t="s">
        <v>43</v>
      </c>
      <c r="C42" s="1253"/>
      <c r="D42" s="721">
        <f>D38+D40</f>
        <v>44896.020000000004</v>
      </c>
      <c r="E42" s="721">
        <f>E38+E40</f>
        <v>44722.97</v>
      </c>
      <c r="F42" s="721">
        <f>E42-D42</f>
        <v>-173.05000000000291</v>
      </c>
      <c r="G42" s="721">
        <f>G38+G40</f>
        <v>61067.850000000006</v>
      </c>
      <c r="H42" s="721">
        <f>H38+H40</f>
        <v>63031.562916666677</v>
      </c>
      <c r="I42" s="721">
        <f>H42-G42</f>
        <v>1963.7129166666709</v>
      </c>
      <c r="J42" s="743"/>
      <c r="K42" s="743"/>
    </row>
  </sheetData>
  <mergeCells count="13">
    <mergeCell ref="B1:F1"/>
    <mergeCell ref="F4:F5"/>
    <mergeCell ref="J4:J5"/>
    <mergeCell ref="K4:K5"/>
    <mergeCell ref="B6:B11"/>
    <mergeCell ref="I4:I5"/>
    <mergeCell ref="B40:C40"/>
    <mergeCell ref="B42:C42"/>
    <mergeCell ref="B13:B18"/>
    <mergeCell ref="B20:B26"/>
    <mergeCell ref="B28:B30"/>
    <mergeCell ref="B32:B36"/>
    <mergeCell ref="B38:C38"/>
  </mergeCells>
  <pageMargins left="0.31527777777777799" right="0.31527777777777799" top="0.74791666666666701" bottom="0.74791666666666701" header="0.51180555555555496" footer="0.51180555555555496"/>
  <pageSetup scale="88" firstPageNumber="0" orientation="portrait" horizontalDpi="300" verticalDpi="300" r:id="rId1"/>
  <headerFooter>
    <oddFooter>&amp;C&amp;1#&amp;"Calibri"&amp;10&amp;K000000Usage Interne / Internal Use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42"/>
  <sheetViews>
    <sheetView workbookViewId="0"/>
  </sheetViews>
  <sheetFormatPr defaultColWidth="9.140625" defaultRowHeight="12" x14ac:dyDescent="0.2"/>
  <cols>
    <col min="1" max="1" width="8.7109375" customWidth="1"/>
    <col min="2" max="2" width="35.7109375" customWidth="1"/>
    <col min="3" max="3" width="4.140625" hidden="1" customWidth="1"/>
    <col min="4" max="5" width="3.42578125" hidden="1" customWidth="1"/>
    <col min="6" max="6" width="5.5703125" hidden="1" customWidth="1"/>
    <col min="7" max="8" width="5.42578125" hidden="1" customWidth="1"/>
    <col min="9" max="10" width="3.42578125" hidden="1" customWidth="1"/>
    <col min="11" max="11" width="6.7109375" bestFit="1" customWidth="1"/>
    <col min="12" max="12" width="3.42578125" bestFit="1" customWidth="1"/>
    <col min="13" max="13" width="7.42578125" bestFit="1" customWidth="1"/>
    <col min="14" max="14" width="3.42578125" hidden="1" customWidth="1"/>
    <col min="15" max="15" width="7.42578125" hidden="1" customWidth="1"/>
    <col min="16" max="16" width="6.42578125" hidden="1" customWidth="1"/>
    <col min="17" max="17" width="7.42578125" hidden="1" customWidth="1"/>
    <col min="18" max="18" width="6.42578125" customWidth="1"/>
    <col min="19" max="19" width="6.42578125" bestFit="1" customWidth="1"/>
    <col min="20" max="20" width="8" customWidth="1"/>
    <col min="21" max="21" width="13.7109375" hidden="1" customWidth="1"/>
    <col min="22" max="22" width="8.42578125" hidden="1" customWidth="1"/>
    <col min="23" max="23" width="6.42578125" hidden="1" customWidth="1"/>
    <col min="24" max="24" width="4.42578125" hidden="1" customWidth="1"/>
    <col min="25" max="25" width="10.5703125" customWidth="1"/>
    <col min="26" max="27" width="3.42578125" bestFit="1" customWidth="1"/>
    <col min="28" max="28" width="3.42578125" hidden="1" customWidth="1"/>
    <col min="29" max="29" width="5.5703125" bestFit="1" customWidth="1"/>
    <col min="30" max="30" width="5.42578125" hidden="1" customWidth="1"/>
    <col min="31" max="31" width="5.5703125" bestFit="1" customWidth="1"/>
    <col min="32" max="33" width="3.42578125" hidden="1" customWidth="1"/>
    <col min="34" max="34" width="6.7109375" bestFit="1" customWidth="1"/>
    <col min="35" max="35" width="3.42578125" hidden="1" customWidth="1"/>
    <col min="36" max="36" width="5.5703125" bestFit="1" customWidth="1"/>
    <col min="37" max="37" width="3.42578125" hidden="1" customWidth="1"/>
    <col min="38" max="38" width="6.7109375" bestFit="1" customWidth="1"/>
    <col min="39" max="40" width="3.42578125" hidden="1" customWidth="1"/>
    <col min="41" max="42" width="6.42578125" bestFit="1" customWidth="1"/>
    <col min="43" max="44" width="3.42578125" hidden="1" customWidth="1"/>
    <col min="45" max="45" width="6.42578125" hidden="1" customWidth="1"/>
    <col min="46" max="46" width="3.42578125" hidden="1" customWidth="1"/>
    <col min="47" max="47" width="6.42578125" hidden="1" customWidth="1"/>
    <col min="48" max="1025" width="10.5703125" customWidth="1"/>
  </cols>
  <sheetData>
    <row r="1" spans="1:47" x14ac:dyDescent="0.2">
      <c r="C1" s="1268" t="s">
        <v>44</v>
      </c>
      <c r="D1" s="1268"/>
      <c r="E1" s="1268"/>
      <c r="F1" s="1268"/>
      <c r="G1" s="1268"/>
      <c r="H1" s="1268"/>
      <c r="I1" s="1268"/>
      <c r="J1" s="1268"/>
      <c r="K1" s="1268"/>
      <c r="L1" s="1268"/>
      <c r="M1" s="1268"/>
      <c r="N1" s="1268"/>
      <c r="O1" s="1268"/>
      <c r="P1" s="1268"/>
      <c r="Q1" s="1268"/>
      <c r="R1" s="1268"/>
      <c r="S1" s="1268"/>
      <c r="T1" s="1268"/>
      <c r="U1" s="1268"/>
      <c r="V1" s="1268"/>
      <c r="W1" s="1268"/>
      <c r="X1" s="1268"/>
      <c r="Z1" s="1268" t="s">
        <v>45</v>
      </c>
      <c r="AA1" s="1268"/>
      <c r="AB1" s="1268"/>
      <c r="AC1" s="1268"/>
      <c r="AD1" s="1268"/>
      <c r="AE1" s="1268"/>
      <c r="AF1" s="1268"/>
      <c r="AG1" s="1268"/>
      <c r="AH1" s="1268"/>
      <c r="AI1" s="1268"/>
      <c r="AJ1" s="1268"/>
      <c r="AK1" s="1268"/>
      <c r="AL1" s="1268"/>
      <c r="AM1" s="1268"/>
      <c r="AN1" s="1268"/>
      <c r="AO1" s="1268"/>
      <c r="AP1" s="1268"/>
      <c r="AQ1" s="1268"/>
      <c r="AR1" s="1268"/>
      <c r="AS1" s="1268"/>
      <c r="AT1" s="1268"/>
      <c r="AU1" s="1268"/>
    </row>
    <row r="2" spans="1:47" s="7" customFormat="1" x14ac:dyDescent="0.2"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1268"/>
      <c r="P2" s="1268"/>
      <c r="Q2" s="1268"/>
      <c r="R2" s="1268"/>
      <c r="S2" s="1268"/>
      <c r="T2" s="1268"/>
      <c r="U2" s="1268"/>
      <c r="V2" s="1268"/>
      <c r="W2" s="1268"/>
      <c r="X2" s="1268"/>
      <c r="Z2" s="1268"/>
      <c r="AA2" s="1268"/>
      <c r="AB2" s="1268"/>
      <c r="AC2" s="1268"/>
      <c r="AD2" s="1268"/>
      <c r="AE2" s="1268"/>
      <c r="AF2" s="1268"/>
      <c r="AG2" s="1268"/>
      <c r="AH2" s="1268"/>
      <c r="AI2" s="1268"/>
      <c r="AJ2" s="1268"/>
      <c r="AK2" s="1268"/>
      <c r="AL2" s="1268"/>
      <c r="AM2" s="1268"/>
      <c r="AN2" s="1268"/>
      <c r="AO2" s="1268"/>
      <c r="AP2" s="1268"/>
      <c r="AQ2" s="1268"/>
      <c r="AR2" s="1268"/>
      <c r="AS2" s="1268"/>
      <c r="AT2" s="1268"/>
      <c r="AU2" s="1268"/>
    </row>
    <row r="3" spans="1:47" s="7" customFormat="1" ht="21" thickBot="1" x14ac:dyDescent="0.25">
      <c r="A3" s="1" t="s">
        <v>46</v>
      </c>
    </row>
    <row r="4" spans="1:47" s="7" customFormat="1" ht="194.25" thickBot="1" x14ac:dyDescent="0.25">
      <c r="A4" s="74"/>
      <c r="B4" s="75"/>
      <c r="C4" s="76" t="str">
        <f>'Budget analytique'!C6</f>
        <v>Assemblée Générale</v>
      </c>
      <c r="D4" s="77" t="s">
        <v>15</v>
      </c>
      <c r="E4" s="77" t="str">
        <f>'Budget analytique'!C8</f>
        <v>Comité régional</v>
      </c>
      <c r="F4" s="77" t="str">
        <f>'Budget analytique'!C9</f>
        <v>Congrès régional</v>
      </c>
      <c r="G4" s="78" t="str">
        <f>'Budget analytique'!C10</f>
        <v>Equipe régionale</v>
      </c>
      <c r="H4" s="79" t="str">
        <f>'Budget analytique'!C13</f>
        <v>Formations des bénévoles (hors BAFA-BAFD)</v>
      </c>
      <c r="I4" s="80" t="str">
        <f>'Budget analytique'!C14</f>
        <v>Formations des salariés</v>
      </c>
      <c r="J4" s="81" t="str">
        <f>'Budget analytique'!C15</f>
        <v>Formations des services civiques</v>
      </c>
      <c r="K4" s="81" t="str">
        <f>'Budget analytique'!C16</f>
        <v>Mini-séjours et rassemblements régionaux</v>
      </c>
      <c r="L4" s="82" t="str">
        <f>'Budget analytique'!C17</f>
        <v>Rassemblements nationaux</v>
      </c>
      <c r="M4" s="83" t="str">
        <f>'Budget analytique'!C20</f>
        <v>Formations BAFA-BAFD</v>
      </c>
      <c r="N4" s="84" t="str">
        <f>'Budget analytique'!C21</f>
        <v>Croq'nature</v>
      </c>
      <c r="O4" s="84" t="str">
        <f>'Budget analytique'!C22</f>
        <v>Séjours ouverts</v>
      </c>
      <c r="P4" s="84" t="str">
        <f>'Budget analytique'!C23</f>
        <v>Séjours adaptés</v>
      </c>
      <c r="Q4" s="84" t="str">
        <f>'Budget analytique'!C24</f>
        <v>Ecole</v>
      </c>
      <c r="R4" s="85" t="str">
        <f>'Budget analytique'!C25</f>
        <v>Autres activités</v>
      </c>
      <c r="S4" s="86" t="str">
        <f>'Budget analytique'!C28</f>
        <v>Fonctionnement (charges et produits indirects)</v>
      </c>
      <c r="T4" s="87" t="str">
        <f>'Budget analytique'!C29</f>
        <v>Subventions</v>
      </c>
      <c r="U4" s="88" t="str">
        <f>'Budget analytique'!C32</f>
        <v>Accueil gestion complète en dur</v>
      </c>
      <c r="V4" s="89" t="str">
        <f>'Budget analytique'!C33</f>
        <v>Accueil gestion libre en dur</v>
      </c>
      <c r="W4" s="89" t="str">
        <f>'Budget analytique'!C34</f>
        <v>Accueil  gestion complète plein air</v>
      </c>
      <c r="X4" s="90" t="str">
        <f>'Budget analytique'!C35</f>
        <v>Accueil gestion libre plein air</v>
      </c>
      <c r="Z4" s="76" t="s">
        <v>14</v>
      </c>
      <c r="AA4" s="277" t="s">
        <v>15</v>
      </c>
      <c r="AB4" s="277" t="s">
        <v>47</v>
      </c>
      <c r="AC4" s="277" t="s">
        <v>17</v>
      </c>
      <c r="AD4" s="278" t="s">
        <v>18</v>
      </c>
      <c r="AE4" s="279" t="s">
        <v>48</v>
      </c>
      <c r="AF4" s="280" t="s">
        <v>22</v>
      </c>
      <c r="AG4" s="281" t="s">
        <v>23</v>
      </c>
      <c r="AH4" s="281" t="s">
        <v>24</v>
      </c>
      <c r="AI4" s="282" t="s">
        <v>25</v>
      </c>
      <c r="AJ4" s="283" t="s">
        <v>27</v>
      </c>
      <c r="AK4" s="284" t="s">
        <v>28</v>
      </c>
      <c r="AL4" s="284" t="s">
        <v>29</v>
      </c>
      <c r="AM4" s="284" t="s">
        <v>30</v>
      </c>
      <c r="AN4" s="284" t="s">
        <v>31</v>
      </c>
      <c r="AO4" s="285" t="s">
        <v>32</v>
      </c>
      <c r="AP4" s="286" t="s">
        <v>34</v>
      </c>
      <c r="AQ4" s="287" t="s">
        <v>49</v>
      </c>
      <c r="AR4" s="288" t="s">
        <v>37</v>
      </c>
      <c r="AS4" s="289" t="s">
        <v>50</v>
      </c>
      <c r="AT4" s="289" t="s">
        <v>51</v>
      </c>
      <c r="AU4" s="290" t="s">
        <v>40</v>
      </c>
    </row>
    <row r="5" spans="1:47" ht="12.75" thickBot="1" x14ac:dyDescent="0.25">
      <c r="A5" s="91">
        <v>70</v>
      </c>
      <c r="B5" s="92" t="s">
        <v>52</v>
      </c>
      <c r="C5" s="330">
        <f>SUM(C6:C14)</f>
        <v>0</v>
      </c>
      <c r="D5" s="331">
        <f t="shared" ref="D5:X5" si="0">SUM(D6:D14)</f>
        <v>0</v>
      </c>
      <c r="E5" s="331">
        <f>SUM(E6:E14)</f>
        <v>0</v>
      </c>
      <c r="F5" s="331">
        <f t="shared" si="0"/>
        <v>3679</v>
      </c>
      <c r="G5" s="332">
        <f t="shared" si="0"/>
        <v>0</v>
      </c>
      <c r="H5" s="291">
        <f t="shared" si="0"/>
        <v>0</v>
      </c>
      <c r="I5" s="292">
        <f t="shared" si="0"/>
        <v>0</v>
      </c>
      <c r="J5" s="292">
        <f>SUM(J6:J14)</f>
        <v>0</v>
      </c>
      <c r="K5" s="292">
        <f t="shared" si="0"/>
        <v>15000</v>
      </c>
      <c r="L5" s="293">
        <f t="shared" si="0"/>
        <v>0</v>
      </c>
      <c r="M5" s="334">
        <f t="shared" si="0"/>
        <v>8500</v>
      </c>
      <c r="N5" s="335">
        <f t="shared" si="0"/>
        <v>0</v>
      </c>
      <c r="O5" s="335">
        <f t="shared" si="0"/>
        <v>0</v>
      </c>
      <c r="P5" s="335">
        <f t="shared" si="0"/>
        <v>0</v>
      </c>
      <c r="Q5" s="335">
        <f t="shared" si="0"/>
        <v>0</v>
      </c>
      <c r="R5" s="336">
        <f t="shared" si="0"/>
        <v>3000</v>
      </c>
      <c r="S5" s="376">
        <f t="shared" si="0"/>
        <v>9400</v>
      </c>
      <c r="T5" s="356">
        <f t="shared" si="0"/>
        <v>0</v>
      </c>
      <c r="U5" s="323">
        <f t="shared" si="0"/>
        <v>0</v>
      </c>
      <c r="V5" s="324">
        <f t="shared" si="0"/>
        <v>0</v>
      </c>
      <c r="W5" s="324">
        <f t="shared" si="0"/>
        <v>0</v>
      </c>
      <c r="X5" s="307">
        <f t="shared" si="0"/>
        <v>0</v>
      </c>
      <c r="Z5" s="10">
        <f t="shared" ref="Z5:AU5" si="1">SUM(Z6:Z14)</f>
        <v>0</v>
      </c>
      <c r="AA5" s="11">
        <f t="shared" si="1"/>
        <v>0</v>
      </c>
      <c r="AB5" s="11">
        <f t="shared" si="1"/>
        <v>0</v>
      </c>
      <c r="AC5" s="11">
        <f t="shared" si="1"/>
        <v>1905.6170833333333</v>
      </c>
      <c r="AD5" s="12">
        <f t="shared" si="1"/>
        <v>0</v>
      </c>
      <c r="AE5" s="93">
        <f t="shared" si="1"/>
        <v>0</v>
      </c>
      <c r="AF5" s="14">
        <f t="shared" si="1"/>
        <v>0</v>
      </c>
      <c r="AG5" s="14">
        <f t="shared" si="1"/>
        <v>0</v>
      </c>
      <c r="AH5" s="14">
        <f t="shared" si="1"/>
        <v>11375</v>
      </c>
      <c r="AI5" s="15">
        <f t="shared" si="1"/>
        <v>0</v>
      </c>
      <c r="AJ5" s="94">
        <f t="shared" si="1"/>
        <v>8550</v>
      </c>
      <c r="AK5" s="95">
        <f t="shared" si="1"/>
        <v>0</v>
      </c>
      <c r="AL5" s="95">
        <f t="shared" si="1"/>
        <v>25500</v>
      </c>
      <c r="AM5" s="95">
        <f t="shared" si="1"/>
        <v>0</v>
      </c>
      <c r="AN5" s="95">
        <f t="shared" si="1"/>
        <v>0</v>
      </c>
      <c r="AO5" s="96">
        <f t="shared" si="1"/>
        <v>0</v>
      </c>
      <c r="AP5" s="97">
        <f t="shared" si="1"/>
        <v>7086.5629166666804</v>
      </c>
      <c r="AQ5" s="20">
        <f t="shared" si="1"/>
        <v>0</v>
      </c>
      <c r="AR5" s="98">
        <f t="shared" si="1"/>
        <v>0</v>
      </c>
      <c r="AS5" s="99">
        <f t="shared" si="1"/>
        <v>0</v>
      </c>
      <c r="AT5" s="99">
        <f t="shared" si="1"/>
        <v>0</v>
      </c>
      <c r="AU5" s="23">
        <f t="shared" si="1"/>
        <v>0</v>
      </c>
    </row>
    <row r="6" spans="1:47" ht="12" customHeight="1" x14ac:dyDescent="0.2">
      <c r="A6" s="24">
        <v>7060000</v>
      </c>
      <c r="B6" s="25" t="s">
        <v>53</v>
      </c>
      <c r="C6" s="438"/>
      <c r="D6" s="439"/>
      <c r="E6" s="439"/>
      <c r="F6" s="439"/>
      <c r="G6" s="440"/>
      <c r="H6" s="456"/>
      <c r="I6" s="387"/>
      <c r="J6" s="387"/>
      <c r="K6" s="387"/>
      <c r="L6" s="388"/>
      <c r="M6" s="430">
        <v>8500</v>
      </c>
      <c r="N6" s="431"/>
      <c r="O6" s="431"/>
      <c r="P6" s="431"/>
      <c r="Q6" s="431">
        <v>0</v>
      </c>
      <c r="R6" s="432"/>
      <c r="S6" s="466"/>
      <c r="T6" s="467"/>
      <c r="U6" s="399"/>
      <c r="V6" s="400"/>
      <c r="W6" s="400"/>
      <c r="X6" s="401"/>
      <c r="Z6" s="898"/>
      <c r="AA6" s="899"/>
      <c r="AB6" s="899"/>
      <c r="AC6" s="899"/>
      <c r="AD6" s="900"/>
      <c r="AE6" s="901"/>
      <c r="AF6" s="902"/>
      <c r="AG6" s="902"/>
      <c r="AH6" s="902">
        <f>'BP ROLDIR'!F38</f>
        <v>11375</v>
      </c>
      <c r="AI6" s="903"/>
      <c r="AJ6" s="904">
        <f>'Récap BAFA'!C8</f>
        <v>2775</v>
      </c>
      <c r="AK6" s="905"/>
      <c r="AL6" s="905">
        <f>'Récap séjours ouverts'!C8</f>
        <v>25500</v>
      </c>
      <c r="AM6" s="905"/>
      <c r="AN6" s="905"/>
      <c r="AO6" s="906"/>
      <c r="AP6" s="907"/>
      <c r="AQ6" s="908"/>
      <c r="AR6" s="909"/>
      <c r="AS6" s="910"/>
      <c r="AT6" s="910"/>
      <c r="AU6" s="911"/>
    </row>
    <row r="7" spans="1:47" x14ac:dyDescent="0.2">
      <c r="A7" s="34">
        <v>7060009</v>
      </c>
      <c r="B7" s="912" t="s">
        <v>54</v>
      </c>
      <c r="C7" s="441"/>
      <c r="D7" s="442"/>
      <c r="E7" s="442"/>
      <c r="F7" s="442">
        <v>3679</v>
      </c>
      <c r="G7" s="443"/>
      <c r="H7" s="457"/>
      <c r="I7" s="390"/>
      <c r="J7" s="390"/>
      <c r="K7" s="390">
        <f>50*300</f>
        <v>15000</v>
      </c>
      <c r="L7" s="391"/>
      <c r="M7" s="418"/>
      <c r="N7" s="419"/>
      <c r="O7" s="419"/>
      <c r="P7" s="419"/>
      <c r="Q7" s="419"/>
      <c r="R7" s="420"/>
      <c r="S7" s="468"/>
      <c r="T7" s="453"/>
      <c r="U7" s="402"/>
      <c r="V7" s="403"/>
      <c r="W7" s="403"/>
      <c r="X7" s="404"/>
      <c r="Z7" s="913"/>
      <c r="AA7" s="914"/>
      <c r="AB7" s="914"/>
      <c r="AC7" s="914">
        <v>1905.6170833333333</v>
      </c>
      <c r="AD7" s="915"/>
      <c r="AE7" s="916"/>
      <c r="AF7" s="917"/>
      <c r="AG7" s="917"/>
      <c r="AH7" s="917"/>
      <c r="AI7" s="918"/>
      <c r="AJ7" s="919">
        <f>'Récap BAFA'!C9</f>
        <v>5775</v>
      </c>
      <c r="AK7" s="920"/>
      <c r="AL7" s="920"/>
      <c r="AM7" s="920"/>
      <c r="AN7" s="920"/>
      <c r="AO7" s="921"/>
      <c r="AP7" s="922">
        <f>+'OLD BP Fonct'!G21</f>
        <v>6186.5629166666804</v>
      </c>
      <c r="AQ7" s="923"/>
      <c r="AR7" s="924"/>
      <c r="AS7" s="925"/>
      <c r="AT7" s="925"/>
      <c r="AU7" s="926"/>
    </row>
    <row r="8" spans="1:47" x14ac:dyDescent="0.2">
      <c r="A8" s="34">
        <v>7061000</v>
      </c>
      <c r="B8" s="912" t="s">
        <v>55</v>
      </c>
      <c r="C8" s="441"/>
      <c r="D8" s="442"/>
      <c r="E8" s="442"/>
      <c r="F8" s="442"/>
      <c r="G8" s="443"/>
      <c r="H8" s="457"/>
      <c r="I8" s="390"/>
      <c r="J8" s="390"/>
      <c r="K8" s="390"/>
      <c r="L8" s="391"/>
      <c r="M8" s="418"/>
      <c r="N8" s="419"/>
      <c r="O8" s="419"/>
      <c r="P8" s="419"/>
      <c r="Q8" s="419"/>
      <c r="R8" s="420"/>
      <c r="S8" s="468"/>
      <c r="T8" s="453"/>
      <c r="U8" s="402"/>
      <c r="V8" s="403"/>
      <c r="W8" s="403"/>
      <c r="X8" s="404"/>
      <c r="Z8" s="913"/>
      <c r="AA8" s="914"/>
      <c r="AB8" s="914"/>
      <c r="AC8" s="914"/>
      <c r="AD8" s="915"/>
      <c r="AE8" s="916"/>
      <c r="AF8" s="917"/>
      <c r="AG8" s="917"/>
      <c r="AH8" s="917"/>
      <c r="AI8" s="918"/>
      <c r="AJ8" s="919"/>
      <c r="AK8" s="920"/>
      <c r="AL8" s="920"/>
      <c r="AM8" s="920"/>
      <c r="AN8" s="920"/>
      <c r="AO8" s="921"/>
      <c r="AP8" s="922"/>
      <c r="AQ8" s="923"/>
      <c r="AR8" s="924"/>
      <c r="AS8" s="925"/>
      <c r="AT8" s="925"/>
      <c r="AU8" s="926"/>
    </row>
    <row r="9" spans="1:47" x14ac:dyDescent="0.2">
      <c r="A9" s="34">
        <v>7070000</v>
      </c>
      <c r="B9" s="912" t="s">
        <v>56</v>
      </c>
      <c r="C9" s="441"/>
      <c r="D9" s="442"/>
      <c r="E9" s="442"/>
      <c r="F9" s="442"/>
      <c r="G9" s="443"/>
      <c r="H9" s="457"/>
      <c r="I9" s="390"/>
      <c r="J9" s="390"/>
      <c r="K9" s="390"/>
      <c r="L9" s="391"/>
      <c r="M9" s="418"/>
      <c r="N9" s="419"/>
      <c r="O9" s="419"/>
      <c r="P9" s="419"/>
      <c r="Q9" s="419"/>
      <c r="R9" s="420"/>
      <c r="S9" s="468"/>
      <c r="T9" s="453"/>
      <c r="U9" s="402"/>
      <c r="V9" s="403"/>
      <c r="W9" s="403"/>
      <c r="X9" s="404"/>
      <c r="Z9" s="913"/>
      <c r="AA9" s="914"/>
      <c r="AB9" s="914"/>
      <c r="AC9" s="914"/>
      <c r="AD9" s="915"/>
      <c r="AE9" s="916"/>
      <c r="AF9" s="917"/>
      <c r="AG9" s="917"/>
      <c r="AH9" s="917"/>
      <c r="AI9" s="918"/>
      <c r="AJ9" s="919"/>
      <c r="AK9" s="920"/>
      <c r="AL9" s="920"/>
      <c r="AM9" s="920"/>
      <c r="AN9" s="920"/>
      <c r="AO9" s="921"/>
      <c r="AP9" s="922"/>
      <c r="AQ9" s="923"/>
      <c r="AR9" s="924"/>
      <c r="AS9" s="925"/>
      <c r="AT9" s="925"/>
      <c r="AU9" s="926"/>
    </row>
    <row r="10" spans="1:47" ht="12.75" x14ac:dyDescent="0.2">
      <c r="A10" s="34">
        <v>7070009</v>
      </c>
      <c r="B10" s="927" t="s">
        <v>57</v>
      </c>
      <c r="C10" s="441"/>
      <c r="D10" s="469"/>
      <c r="E10" s="442"/>
      <c r="F10" s="469"/>
      <c r="G10" s="443"/>
      <c r="H10" s="458"/>
      <c r="I10" s="390"/>
      <c r="J10" s="459"/>
      <c r="K10" s="390"/>
      <c r="L10" s="460"/>
      <c r="M10" s="418"/>
      <c r="N10" s="479"/>
      <c r="O10" s="419"/>
      <c r="P10" s="479"/>
      <c r="Q10" s="419"/>
      <c r="R10" s="480"/>
      <c r="S10" s="468"/>
      <c r="T10" s="470"/>
      <c r="U10" s="402"/>
      <c r="V10" s="475"/>
      <c r="W10" s="403"/>
      <c r="X10" s="476"/>
      <c r="Z10" s="913"/>
      <c r="AA10" s="928"/>
      <c r="AB10" s="914"/>
      <c r="AC10" s="928"/>
      <c r="AD10" s="915"/>
      <c r="AE10" s="929"/>
      <c r="AF10" s="917"/>
      <c r="AG10" s="930"/>
      <c r="AH10" s="917"/>
      <c r="AI10" s="931"/>
      <c r="AJ10" s="919"/>
      <c r="AK10" s="932"/>
      <c r="AL10" s="920"/>
      <c r="AM10" s="932"/>
      <c r="AN10" s="920"/>
      <c r="AO10" s="933"/>
      <c r="AP10" s="922"/>
      <c r="AQ10" s="934"/>
      <c r="AR10" s="924"/>
      <c r="AS10" s="935"/>
      <c r="AT10" s="925"/>
      <c r="AU10" s="936"/>
    </row>
    <row r="11" spans="1:47" x14ac:dyDescent="0.2">
      <c r="A11" s="34">
        <v>7083000</v>
      </c>
      <c r="B11" s="912" t="s">
        <v>58</v>
      </c>
      <c r="C11" s="441"/>
      <c r="D11" s="442"/>
      <c r="E11" s="442"/>
      <c r="F11" s="442"/>
      <c r="G11" s="443"/>
      <c r="H11" s="457"/>
      <c r="I11" s="390"/>
      <c r="J11" s="390"/>
      <c r="K11" s="390"/>
      <c r="L11" s="391"/>
      <c r="M11" s="418"/>
      <c r="N11" s="419"/>
      <c r="O11" s="419"/>
      <c r="P11" s="419"/>
      <c r="Q11" s="419"/>
      <c r="R11" s="420"/>
      <c r="S11" s="468"/>
      <c r="T11" s="453"/>
      <c r="U11" s="402"/>
      <c r="V11" s="403"/>
      <c r="W11" s="403"/>
      <c r="X11" s="404"/>
      <c r="Z11" s="913"/>
      <c r="AA11" s="914"/>
      <c r="AB11" s="914"/>
      <c r="AC11" s="914"/>
      <c r="AD11" s="915"/>
      <c r="AE11" s="916"/>
      <c r="AF11" s="917"/>
      <c r="AG11" s="917"/>
      <c r="AH11" s="917"/>
      <c r="AI11" s="918"/>
      <c r="AJ11" s="919"/>
      <c r="AK11" s="920"/>
      <c r="AL11" s="920"/>
      <c r="AM11" s="920"/>
      <c r="AN11" s="920"/>
      <c r="AO11" s="921"/>
      <c r="AP11" s="922"/>
      <c r="AQ11" s="923"/>
      <c r="AR11" s="924"/>
      <c r="AS11" s="925"/>
      <c r="AT11" s="925"/>
      <c r="AU11" s="926"/>
    </row>
    <row r="12" spans="1:47" x14ac:dyDescent="0.2">
      <c r="A12" s="34">
        <v>7083009</v>
      </c>
      <c r="B12" s="912" t="s">
        <v>59</v>
      </c>
      <c r="C12" s="441"/>
      <c r="D12" s="442"/>
      <c r="E12" s="442"/>
      <c r="F12" s="442"/>
      <c r="G12" s="443"/>
      <c r="H12" s="457"/>
      <c r="I12" s="390"/>
      <c r="J12" s="390"/>
      <c r="K12" s="390"/>
      <c r="L12" s="391"/>
      <c r="M12" s="418"/>
      <c r="N12" s="419"/>
      <c r="O12" s="419"/>
      <c r="P12" s="419"/>
      <c r="Q12" s="419"/>
      <c r="R12" s="420"/>
      <c r="S12" s="468"/>
      <c r="T12" s="453"/>
      <c r="U12" s="402"/>
      <c r="V12" s="403"/>
      <c r="W12" s="403"/>
      <c r="X12" s="404"/>
      <c r="Z12" s="913"/>
      <c r="AA12" s="914"/>
      <c r="AB12" s="914"/>
      <c r="AC12" s="914"/>
      <c r="AD12" s="915"/>
      <c r="AE12" s="916"/>
      <c r="AF12" s="917"/>
      <c r="AG12" s="917"/>
      <c r="AH12" s="917"/>
      <c r="AI12" s="918"/>
      <c r="AJ12" s="919"/>
      <c r="AK12" s="920"/>
      <c r="AL12" s="920"/>
      <c r="AM12" s="920"/>
      <c r="AN12" s="920"/>
      <c r="AO12" s="921"/>
      <c r="AP12" s="922"/>
      <c r="AQ12" s="923"/>
      <c r="AR12" s="924"/>
      <c r="AS12" s="925"/>
      <c r="AT12" s="925"/>
      <c r="AU12" s="926"/>
    </row>
    <row r="13" spans="1:47" ht="12" customHeight="1" x14ac:dyDescent="0.2">
      <c r="A13" s="34">
        <v>7080000</v>
      </c>
      <c r="B13" s="912" t="s">
        <v>60</v>
      </c>
      <c r="C13" s="441"/>
      <c r="D13" s="442"/>
      <c r="E13" s="442"/>
      <c r="F13" s="442"/>
      <c r="G13" s="443"/>
      <c r="H13" s="457"/>
      <c r="I13" s="390"/>
      <c r="J13" s="390"/>
      <c r="K13" s="390"/>
      <c r="L13" s="391"/>
      <c r="M13" s="418"/>
      <c r="N13" s="419"/>
      <c r="O13" s="419"/>
      <c r="P13" s="419"/>
      <c r="Q13" s="419"/>
      <c r="R13" s="420">
        <v>3000</v>
      </c>
      <c r="S13" s="468">
        <v>9400</v>
      </c>
      <c r="T13" s="453"/>
      <c r="U13" s="402"/>
      <c r="V13" s="403"/>
      <c r="W13" s="403"/>
      <c r="X13" s="404"/>
      <c r="Z13" s="913"/>
      <c r="AA13" s="914"/>
      <c r="AB13" s="914"/>
      <c r="AC13" s="914"/>
      <c r="AD13" s="915"/>
      <c r="AE13" s="916"/>
      <c r="AF13" s="917"/>
      <c r="AG13" s="917"/>
      <c r="AH13" s="917"/>
      <c r="AI13" s="918"/>
      <c r="AJ13" s="919"/>
      <c r="AK13" s="920"/>
      <c r="AL13" s="920"/>
      <c r="AM13" s="920"/>
      <c r="AN13" s="920"/>
      <c r="AO13" s="921"/>
      <c r="AP13" s="922">
        <f>+'OLD BP Fonct'!G8</f>
        <v>900</v>
      </c>
      <c r="AQ13" s="923"/>
      <c r="AR13" s="924"/>
      <c r="AS13" s="925"/>
      <c r="AT13" s="925"/>
      <c r="AU13" s="926"/>
    </row>
    <row r="14" spans="1:47" ht="12.75" thickBot="1" x14ac:dyDescent="0.25">
      <c r="A14" s="34">
        <v>7080009</v>
      </c>
      <c r="B14" s="912" t="s">
        <v>61</v>
      </c>
      <c r="C14" s="444"/>
      <c r="D14" s="445"/>
      <c r="E14" s="445"/>
      <c r="F14" s="445"/>
      <c r="G14" s="446"/>
      <c r="H14" s="461"/>
      <c r="I14" s="393"/>
      <c r="J14" s="393"/>
      <c r="K14" s="393"/>
      <c r="L14" s="394"/>
      <c r="M14" s="433"/>
      <c r="N14" s="434"/>
      <c r="O14" s="434"/>
      <c r="P14" s="434"/>
      <c r="Q14" s="434"/>
      <c r="R14" s="435"/>
      <c r="S14" s="471"/>
      <c r="T14" s="472"/>
      <c r="U14" s="405"/>
      <c r="V14" s="406"/>
      <c r="W14" s="406"/>
      <c r="X14" s="407"/>
      <c r="Z14" s="937"/>
      <c r="AA14" s="938"/>
      <c r="AB14" s="938"/>
      <c r="AC14" s="938"/>
      <c r="AD14" s="939"/>
      <c r="AE14" s="940"/>
      <c r="AF14" s="941"/>
      <c r="AG14" s="941"/>
      <c r="AH14" s="941"/>
      <c r="AI14" s="942"/>
      <c r="AJ14" s="943"/>
      <c r="AK14" s="944"/>
      <c r="AL14" s="944"/>
      <c r="AM14" s="944"/>
      <c r="AN14" s="944"/>
      <c r="AO14" s="945"/>
      <c r="AP14" s="946"/>
      <c r="AQ14" s="947"/>
      <c r="AR14" s="948"/>
      <c r="AS14" s="949"/>
      <c r="AT14" s="949"/>
      <c r="AU14" s="950"/>
    </row>
    <row r="15" spans="1:47" ht="12.75" thickBot="1" x14ac:dyDescent="0.25">
      <c r="A15" s="100">
        <v>74</v>
      </c>
      <c r="B15" s="9" t="s">
        <v>35</v>
      </c>
      <c r="C15" s="330">
        <f>SUM(C16:C24)</f>
        <v>0</v>
      </c>
      <c r="D15" s="331">
        <f t="shared" ref="D15:X15" si="2">SUM(D16:D24)</f>
        <v>0</v>
      </c>
      <c r="E15" s="331">
        <f t="shared" si="2"/>
        <v>0</v>
      </c>
      <c r="F15" s="331">
        <f t="shared" si="2"/>
        <v>0</v>
      </c>
      <c r="G15" s="332">
        <f t="shared" si="2"/>
        <v>0</v>
      </c>
      <c r="H15" s="291">
        <f t="shared" si="2"/>
        <v>5960</v>
      </c>
      <c r="I15" s="292">
        <f t="shared" si="2"/>
        <v>0</v>
      </c>
      <c r="J15" s="292">
        <f t="shared" si="2"/>
        <v>0</v>
      </c>
      <c r="K15" s="292">
        <f t="shared" si="2"/>
        <v>0</v>
      </c>
      <c r="L15" s="293">
        <f t="shared" si="2"/>
        <v>0</v>
      </c>
      <c r="M15" s="334">
        <f t="shared" si="2"/>
        <v>0</v>
      </c>
      <c r="N15" s="335">
        <f t="shared" si="2"/>
        <v>0</v>
      </c>
      <c r="O15" s="335">
        <f t="shared" si="2"/>
        <v>0</v>
      </c>
      <c r="P15" s="335">
        <f t="shared" si="2"/>
        <v>0</v>
      </c>
      <c r="Q15" s="335">
        <f t="shared" si="2"/>
        <v>0</v>
      </c>
      <c r="R15" s="336">
        <f t="shared" si="2"/>
        <v>0</v>
      </c>
      <c r="S15" s="376">
        <f t="shared" si="2"/>
        <v>4320</v>
      </c>
      <c r="T15" s="356">
        <f t="shared" si="2"/>
        <v>0</v>
      </c>
      <c r="U15" s="323">
        <f t="shared" si="2"/>
        <v>0</v>
      </c>
      <c r="V15" s="324">
        <f t="shared" si="2"/>
        <v>0</v>
      </c>
      <c r="W15" s="324">
        <f t="shared" si="2"/>
        <v>0</v>
      </c>
      <c r="X15" s="307">
        <f t="shared" si="2"/>
        <v>0</v>
      </c>
      <c r="Z15" s="10">
        <f t="shared" ref="Z15:AU15" si="3">SUM(Z16:Z24)</f>
        <v>0</v>
      </c>
      <c r="AA15" s="11">
        <f t="shared" si="3"/>
        <v>0</v>
      </c>
      <c r="AB15" s="11">
        <f t="shared" si="3"/>
        <v>0</v>
      </c>
      <c r="AC15" s="11">
        <f t="shared" si="3"/>
        <v>0</v>
      </c>
      <c r="AD15" s="12">
        <f t="shared" si="3"/>
        <v>0</v>
      </c>
      <c r="AE15" s="93">
        <f t="shared" si="3"/>
        <v>6000</v>
      </c>
      <c r="AF15" s="14">
        <f t="shared" si="3"/>
        <v>0</v>
      </c>
      <c r="AG15" s="14">
        <f t="shared" si="3"/>
        <v>0</v>
      </c>
      <c r="AH15" s="14">
        <f t="shared" si="3"/>
        <v>0</v>
      </c>
      <c r="AI15" s="15">
        <f t="shared" si="3"/>
        <v>0</v>
      </c>
      <c r="AJ15" s="94">
        <f t="shared" si="3"/>
        <v>0</v>
      </c>
      <c r="AK15" s="95">
        <f t="shared" si="3"/>
        <v>0</v>
      </c>
      <c r="AL15" s="95">
        <f t="shared" si="3"/>
        <v>0</v>
      </c>
      <c r="AM15" s="95">
        <f t="shared" si="3"/>
        <v>0</v>
      </c>
      <c r="AN15" s="95">
        <f t="shared" si="3"/>
        <v>0</v>
      </c>
      <c r="AO15" s="96">
        <f t="shared" si="3"/>
        <v>0</v>
      </c>
      <c r="AP15" s="97">
        <f t="shared" si="3"/>
        <v>4320</v>
      </c>
      <c r="AQ15" s="20">
        <f t="shared" si="3"/>
        <v>0</v>
      </c>
      <c r="AR15" s="98">
        <f t="shared" si="3"/>
        <v>0</v>
      </c>
      <c r="AS15" s="99">
        <f t="shared" si="3"/>
        <v>0</v>
      </c>
      <c r="AT15" s="99">
        <f t="shared" si="3"/>
        <v>0</v>
      </c>
      <c r="AU15" s="23">
        <f t="shared" si="3"/>
        <v>0</v>
      </c>
    </row>
    <row r="16" spans="1:47" x14ac:dyDescent="0.2">
      <c r="A16" s="951">
        <v>7410000</v>
      </c>
      <c r="B16" s="952" t="s">
        <v>62</v>
      </c>
      <c r="C16" s="438"/>
      <c r="D16" s="439"/>
      <c r="E16" s="439"/>
      <c r="F16" s="439"/>
      <c r="G16" s="440"/>
      <c r="H16" s="456"/>
      <c r="I16" s="387"/>
      <c r="J16" s="387"/>
      <c r="K16" s="387"/>
      <c r="L16" s="388"/>
      <c r="M16" s="430"/>
      <c r="N16" s="431"/>
      <c r="O16" s="431"/>
      <c r="P16" s="431"/>
      <c r="Q16" s="431"/>
      <c r="R16" s="432"/>
      <c r="S16" s="466"/>
      <c r="T16" s="466"/>
      <c r="U16" s="399"/>
      <c r="V16" s="400"/>
      <c r="W16" s="400"/>
      <c r="X16" s="401"/>
      <c r="Z16" s="898"/>
      <c r="AA16" s="899"/>
      <c r="AB16" s="899"/>
      <c r="AC16" s="899"/>
      <c r="AD16" s="900"/>
      <c r="AE16" s="901">
        <f>'OLD - BP Tremplins'!L33</f>
        <v>6000</v>
      </c>
      <c r="AF16" s="902"/>
      <c r="AG16" s="902"/>
      <c r="AH16" s="902"/>
      <c r="AI16" s="903"/>
      <c r="AJ16" s="904"/>
      <c r="AK16" s="905"/>
      <c r="AL16" s="905"/>
      <c r="AM16" s="905"/>
      <c r="AN16" s="905"/>
      <c r="AO16" s="906"/>
      <c r="AP16" s="907"/>
      <c r="AQ16" s="908"/>
      <c r="AR16" s="909"/>
      <c r="AS16" s="910"/>
      <c r="AT16" s="910"/>
      <c r="AU16" s="911"/>
    </row>
    <row r="17" spans="1:47" x14ac:dyDescent="0.2">
      <c r="A17" s="953">
        <v>7411000</v>
      </c>
      <c r="B17" s="912" t="s">
        <v>63</v>
      </c>
      <c r="C17" s="441"/>
      <c r="D17" s="442"/>
      <c r="E17" s="442"/>
      <c r="F17" s="442"/>
      <c r="G17" s="443"/>
      <c r="H17" s="457">
        <v>5960</v>
      </c>
      <c r="I17" s="390"/>
      <c r="J17" s="390"/>
      <c r="K17" s="390"/>
      <c r="L17" s="391"/>
      <c r="M17" s="418"/>
      <c r="N17" s="419"/>
      <c r="O17" s="419"/>
      <c r="P17" s="419"/>
      <c r="Q17" s="419"/>
      <c r="R17" s="420"/>
      <c r="S17" s="468"/>
      <c r="T17" s="468"/>
      <c r="U17" s="402"/>
      <c r="V17" s="403"/>
      <c r="W17" s="403"/>
      <c r="X17" s="404"/>
      <c r="Z17" s="913"/>
      <c r="AA17" s="914"/>
      <c r="AB17" s="914"/>
      <c r="AC17" s="914"/>
      <c r="AD17" s="915"/>
      <c r="AE17" s="916"/>
      <c r="AF17" s="917"/>
      <c r="AG17" s="917"/>
      <c r="AH17" s="917"/>
      <c r="AI17" s="918"/>
      <c r="AJ17" s="919"/>
      <c r="AK17" s="920"/>
      <c r="AL17" s="920"/>
      <c r="AM17" s="920"/>
      <c r="AN17" s="920"/>
      <c r="AO17" s="921"/>
      <c r="AP17" s="922"/>
      <c r="AQ17" s="923"/>
      <c r="AR17" s="924"/>
      <c r="AS17" s="925"/>
      <c r="AT17" s="925"/>
      <c r="AU17" s="926"/>
    </row>
    <row r="18" spans="1:47" x14ac:dyDescent="0.2">
      <c r="A18" s="953">
        <v>7412000</v>
      </c>
      <c r="B18" s="912" t="s">
        <v>64</v>
      </c>
      <c r="C18" s="441"/>
      <c r="D18" s="442"/>
      <c r="E18" s="442"/>
      <c r="F18" s="442"/>
      <c r="G18" s="443"/>
      <c r="H18" s="457"/>
      <c r="I18" s="390"/>
      <c r="J18" s="390"/>
      <c r="K18" s="390"/>
      <c r="L18" s="391"/>
      <c r="M18" s="418"/>
      <c r="N18" s="419"/>
      <c r="O18" s="419"/>
      <c r="P18" s="419"/>
      <c r="Q18" s="419"/>
      <c r="R18" s="420"/>
      <c r="S18" s="468"/>
      <c r="T18" s="468"/>
      <c r="U18" s="402"/>
      <c r="V18" s="403"/>
      <c r="W18" s="403"/>
      <c r="X18" s="404"/>
      <c r="Z18" s="913"/>
      <c r="AA18" s="914"/>
      <c r="AB18" s="914"/>
      <c r="AC18" s="914"/>
      <c r="AD18" s="915"/>
      <c r="AE18" s="916"/>
      <c r="AF18" s="917"/>
      <c r="AG18" s="917"/>
      <c r="AH18" s="917"/>
      <c r="AI18" s="918"/>
      <c r="AJ18" s="919"/>
      <c r="AK18" s="920"/>
      <c r="AL18" s="920"/>
      <c r="AM18" s="920"/>
      <c r="AN18" s="920"/>
      <c r="AO18" s="921"/>
      <c r="AP18" s="922"/>
      <c r="AQ18" s="923"/>
      <c r="AR18" s="924"/>
      <c r="AS18" s="925"/>
      <c r="AT18" s="925"/>
      <c r="AU18" s="926"/>
    </row>
    <row r="19" spans="1:47" ht="12" customHeight="1" x14ac:dyDescent="0.2">
      <c r="A19" s="953">
        <v>7413000</v>
      </c>
      <c r="B19" s="912" t="s">
        <v>65</v>
      </c>
      <c r="C19" s="441"/>
      <c r="D19" s="442"/>
      <c r="E19" s="442"/>
      <c r="F19" s="442"/>
      <c r="G19" s="443"/>
      <c r="H19" s="457"/>
      <c r="I19" s="390"/>
      <c r="J19" s="390"/>
      <c r="K19" s="390"/>
      <c r="L19" s="391"/>
      <c r="M19" s="418"/>
      <c r="N19" s="419"/>
      <c r="O19" s="419"/>
      <c r="P19" s="419"/>
      <c r="Q19" s="419"/>
      <c r="R19" s="420"/>
      <c r="S19" s="468">
        <v>4320</v>
      </c>
      <c r="T19" s="468"/>
      <c r="U19" s="402"/>
      <c r="V19" s="403"/>
      <c r="W19" s="403"/>
      <c r="X19" s="404"/>
      <c r="Z19" s="913"/>
      <c r="AA19" s="914"/>
      <c r="AB19" s="914"/>
      <c r="AC19" s="914"/>
      <c r="AD19" s="915"/>
      <c r="AE19" s="916"/>
      <c r="AF19" s="917"/>
      <c r="AG19" s="917"/>
      <c r="AH19" s="917"/>
      <c r="AI19" s="918"/>
      <c r="AJ19" s="919"/>
      <c r="AK19" s="920"/>
      <c r="AL19" s="920"/>
      <c r="AM19" s="920"/>
      <c r="AN19" s="920"/>
      <c r="AO19" s="921"/>
      <c r="AP19" s="922">
        <f>+'OLD BP Fonct'!G2</f>
        <v>4320</v>
      </c>
      <c r="AQ19" s="923"/>
      <c r="AR19" s="924"/>
      <c r="AS19" s="925"/>
      <c r="AT19" s="925"/>
      <c r="AU19" s="926"/>
    </row>
    <row r="20" spans="1:47" x14ac:dyDescent="0.2">
      <c r="A20" s="953">
        <v>7414000</v>
      </c>
      <c r="B20" s="912" t="s">
        <v>66</v>
      </c>
      <c r="C20" s="441"/>
      <c r="D20" s="442"/>
      <c r="E20" s="442"/>
      <c r="F20" s="442"/>
      <c r="G20" s="443"/>
      <c r="H20" s="457"/>
      <c r="I20" s="390"/>
      <c r="J20" s="390"/>
      <c r="K20" s="390"/>
      <c r="L20" s="391"/>
      <c r="M20" s="418"/>
      <c r="N20" s="419"/>
      <c r="O20" s="419"/>
      <c r="P20" s="419"/>
      <c r="Q20" s="419"/>
      <c r="R20" s="420"/>
      <c r="S20" s="468"/>
      <c r="T20" s="453"/>
      <c r="U20" s="402"/>
      <c r="V20" s="403"/>
      <c r="W20" s="403"/>
      <c r="X20" s="404"/>
      <c r="Z20" s="913"/>
      <c r="AA20" s="914"/>
      <c r="AB20" s="914"/>
      <c r="AC20" s="914"/>
      <c r="AD20" s="915"/>
      <c r="AE20" s="916"/>
      <c r="AF20" s="917"/>
      <c r="AG20" s="917"/>
      <c r="AH20" s="917"/>
      <c r="AI20" s="918"/>
      <c r="AJ20" s="919"/>
      <c r="AK20" s="920"/>
      <c r="AL20" s="920"/>
      <c r="AM20" s="920"/>
      <c r="AN20" s="920"/>
      <c r="AO20" s="921"/>
      <c r="AP20" s="922"/>
      <c r="AQ20" s="923"/>
      <c r="AR20" s="924"/>
      <c r="AS20" s="925"/>
      <c r="AT20" s="925"/>
      <c r="AU20" s="926"/>
    </row>
    <row r="21" spans="1:47" x14ac:dyDescent="0.2">
      <c r="A21" s="953">
        <v>7414009</v>
      </c>
      <c r="B21" s="912" t="s">
        <v>67</v>
      </c>
      <c r="C21" s="441"/>
      <c r="D21" s="442"/>
      <c r="E21" s="442"/>
      <c r="F21" s="442"/>
      <c r="G21" s="443"/>
      <c r="H21" s="457"/>
      <c r="I21" s="390"/>
      <c r="J21" s="390"/>
      <c r="K21" s="390"/>
      <c r="L21" s="391"/>
      <c r="M21" s="418"/>
      <c r="N21" s="419"/>
      <c r="O21" s="419"/>
      <c r="P21" s="419"/>
      <c r="Q21" s="419"/>
      <c r="R21" s="420"/>
      <c r="S21" s="468"/>
      <c r="T21" s="453"/>
      <c r="U21" s="402"/>
      <c r="V21" s="403"/>
      <c r="W21" s="403"/>
      <c r="X21" s="404"/>
      <c r="Z21" s="913"/>
      <c r="AA21" s="914"/>
      <c r="AB21" s="914"/>
      <c r="AC21" s="914"/>
      <c r="AD21" s="915"/>
      <c r="AE21" s="916"/>
      <c r="AF21" s="917"/>
      <c r="AG21" s="917"/>
      <c r="AH21" s="917"/>
      <c r="AI21" s="918"/>
      <c r="AJ21" s="919"/>
      <c r="AK21" s="920"/>
      <c r="AL21" s="920"/>
      <c r="AM21" s="920"/>
      <c r="AN21" s="920"/>
      <c r="AO21" s="921"/>
      <c r="AP21" s="922"/>
      <c r="AQ21" s="923"/>
      <c r="AR21" s="924"/>
      <c r="AS21" s="925"/>
      <c r="AT21" s="925"/>
      <c r="AU21" s="926"/>
    </row>
    <row r="22" spans="1:47" x14ac:dyDescent="0.2">
      <c r="A22" s="953">
        <v>7415000</v>
      </c>
      <c r="B22" s="912" t="s">
        <v>68</v>
      </c>
      <c r="C22" s="441"/>
      <c r="D22" s="442"/>
      <c r="E22" s="442"/>
      <c r="F22" s="442"/>
      <c r="G22" s="443"/>
      <c r="H22" s="457"/>
      <c r="I22" s="390"/>
      <c r="J22" s="390"/>
      <c r="K22" s="390"/>
      <c r="L22" s="391"/>
      <c r="M22" s="418"/>
      <c r="N22" s="419"/>
      <c r="O22" s="419"/>
      <c r="P22" s="419"/>
      <c r="Q22" s="419"/>
      <c r="R22" s="420"/>
      <c r="S22" s="468"/>
      <c r="T22" s="453"/>
      <c r="U22" s="402"/>
      <c r="V22" s="403"/>
      <c r="W22" s="403"/>
      <c r="X22" s="404"/>
      <c r="Z22" s="913"/>
      <c r="AA22" s="914"/>
      <c r="AB22" s="914"/>
      <c r="AC22" s="914"/>
      <c r="AD22" s="915"/>
      <c r="AE22" s="916"/>
      <c r="AF22" s="917"/>
      <c r="AG22" s="917"/>
      <c r="AH22" s="917"/>
      <c r="AI22" s="918"/>
      <c r="AJ22" s="919"/>
      <c r="AK22" s="920"/>
      <c r="AL22" s="920"/>
      <c r="AM22" s="920"/>
      <c r="AN22" s="920"/>
      <c r="AO22" s="921"/>
      <c r="AP22" s="922"/>
      <c r="AQ22" s="923"/>
      <c r="AR22" s="924"/>
      <c r="AS22" s="925"/>
      <c r="AT22" s="925"/>
      <c r="AU22" s="926"/>
    </row>
    <row r="23" spans="1:47" x14ac:dyDescent="0.2">
      <c r="A23" s="953">
        <v>7416000</v>
      </c>
      <c r="B23" s="912" t="s">
        <v>69</v>
      </c>
      <c r="C23" s="441"/>
      <c r="D23" s="442"/>
      <c r="E23" s="442"/>
      <c r="F23" s="442"/>
      <c r="G23" s="443"/>
      <c r="H23" s="457"/>
      <c r="I23" s="390"/>
      <c r="J23" s="390"/>
      <c r="K23" s="390"/>
      <c r="L23" s="391"/>
      <c r="M23" s="418"/>
      <c r="N23" s="419"/>
      <c r="O23" s="419"/>
      <c r="P23" s="419"/>
      <c r="Q23" s="419"/>
      <c r="R23" s="420"/>
      <c r="S23" s="468"/>
      <c r="T23" s="453"/>
      <c r="U23" s="402"/>
      <c r="V23" s="403"/>
      <c r="W23" s="403"/>
      <c r="X23" s="404"/>
      <c r="Z23" s="913"/>
      <c r="AA23" s="914"/>
      <c r="AB23" s="914"/>
      <c r="AC23" s="914"/>
      <c r="AD23" s="915"/>
      <c r="AE23" s="916"/>
      <c r="AF23" s="917"/>
      <c r="AG23" s="917"/>
      <c r="AH23" s="917"/>
      <c r="AI23" s="918"/>
      <c r="AJ23" s="919"/>
      <c r="AK23" s="920"/>
      <c r="AL23" s="920"/>
      <c r="AM23" s="920"/>
      <c r="AN23" s="920"/>
      <c r="AO23" s="921"/>
      <c r="AP23" s="922"/>
      <c r="AQ23" s="923"/>
      <c r="AR23" s="924"/>
      <c r="AS23" s="925"/>
      <c r="AT23" s="925"/>
      <c r="AU23" s="926"/>
    </row>
    <row r="24" spans="1:47" ht="13.5" thickBot="1" x14ac:dyDescent="0.25">
      <c r="A24" s="953">
        <v>7480000</v>
      </c>
      <c r="B24" s="101" t="s">
        <v>70</v>
      </c>
      <c r="C24" s="444"/>
      <c r="D24" s="473"/>
      <c r="E24" s="445"/>
      <c r="F24" s="473"/>
      <c r="G24" s="446"/>
      <c r="H24" s="462"/>
      <c r="I24" s="393"/>
      <c r="J24" s="463"/>
      <c r="K24" s="393"/>
      <c r="L24" s="464"/>
      <c r="M24" s="433"/>
      <c r="N24" s="481"/>
      <c r="O24" s="434"/>
      <c r="P24" s="481"/>
      <c r="Q24" s="434"/>
      <c r="R24" s="482"/>
      <c r="S24" s="471"/>
      <c r="T24" s="474"/>
      <c r="U24" s="405"/>
      <c r="V24" s="477"/>
      <c r="W24" s="406"/>
      <c r="X24" s="478"/>
      <c r="Z24" s="937"/>
      <c r="AA24" s="954"/>
      <c r="AB24" s="938"/>
      <c r="AC24" s="954"/>
      <c r="AD24" s="939"/>
      <c r="AE24" s="955"/>
      <c r="AF24" s="941"/>
      <c r="AG24" s="956"/>
      <c r="AH24" s="941"/>
      <c r="AI24" s="957"/>
      <c r="AJ24" s="943"/>
      <c r="AK24" s="958"/>
      <c r="AL24" s="944"/>
      <c r="AM24" s="958"/>
      <c r="AN24" s="944"/>
      <c r="AO24" s="959"/>
      <c r="AP24" s="946"/>
      <c r="AQ24" s="960"/>
      <c r="AR24" s="948"/>
      <c r="AS24" s="961"/>
      <c r="AT24" s="949"/>
      <c r="AU24" s="962"/>
    </row>
    <row r="25" spans="1:47" ht="12.75" thickBot="1" x14ac:dyDescent="0.25">
      <c r="A25" s="102">
        <v>75</v>
      </c>
      <c r="B25" s="9" t="s">
        <v>71</v>
      </c>
      <c r="C25" s="330">
        <f>SUM(C26:C32)</f>
        <v>0</v>
      </c>
      <c r="D25" s="331">
        <f t="shared" ref="D25:X25" si="4">SUM(D26:D32)</f>
        <v>0</v>
      </c>
      <c r="E25" s="331">
        <f t="shared" si="4"/>
        <v>0</v>
      </c>
      <c r="F25" s="331">
        <f t="shared" si="4"/>
        <v>0</v>
      </c>
      <c r="G25" s="332">
        <f t="shared" si="4"/>
        <v>0</v>
      </c>
      <c r="H25" s="291">
        <f t="shared" si="4"/>
        <v>0</v>
      </c>
      <c r="I25" s="292">
        <f t="shared" si="4"/>
        <v>0</v>
      </c>
      <c r="J25" s="292">
        <f t="shared" si="4"/>
        <v>0</v>
      </c>
      <c r="K25" s="292">
        <f t="shared" si="4"/>
        <v>0</v>
      </c>
      <c r="L25" s="293">
        <f t="shared" si="4"/>
        <v>0</v>
      </c>
      <c r="M25" s="334">
        <f t="shared" si="4"/>
        <v>0</v>
      </c>
      <c r="N25" s="335">
        <f t="shared" si="4"/>
        <v>0</v>
      </c>
      <c r="O25" s="335">
        <f t="shared" si="4"/>
        <v>0</v>
      </c>
      <c r="P25" s="335">
        <f t="shared" si="4"/>
        <v>0</v>
      </c>
      <c r="Q25" s="335">
        <f t="shared" si="4"/>
        <v>0</v>
      </c>
      <c r="R25" s="336">
        <f t="shared" si="4"/>
        <v>0</v>
      </c>
      <c r="S25" s="376">
        <f t="shared" si="4"/>
        <v>110</v>
      </c>
      <c r="T25" s="356">
        <f t="shared" si="4"/>
        <v>0</v>
      </c>
      <c r="U25" s="323">
        <f t="shared" si="4"/>
        <v>0</v>
      </c>
      <c r="V25" s="324">
        <f t="shared" si="4"/>
        <v>0</v>
      </c>
      <c r="W25" s="324">
        <f t="shared" si="4"/>
        <v>0</v>
      </c>
      <c r="X25" s="307">
        <f t="shared" si="4"/>
        <v>0</v>
      </c>
      <c r="Z25" s="10">
        <f t="shared" ref="Z25:AU25" si="5">SUM(Z26:Z32)</f>
        <v>0</v>
      </c>
      <c r="AA25" s="11">
        <f t="shared" si="5"/>
        <v>0</v>
      </c>
      <c r="AB25" s="11">
        <f t="shared" si="5"/>
        <v>0</v>
      </c>
      <c r="AC25" s="11">
        <f t="shared" si="5"/>
        <v>0</v>
      </c>
      <c r="AD25" s="12">
        <f t="shared" si="5"/>
        <v>0</v>
      </c>
      <c r="AE25" s="93">
        <f t="shared" si="5"/>
        <v>0</v>
      </c>
      <c r="AF25" s="14">
        <f t="shared" si="5"/>
        <v>0</v>
      </c>
      <c r="AG25" s="14">
        <f t="shared" si="5"/>
        <v>0</v>
      </c>
      <c r="AH25" s="14">
        <f t="shared" si="5"/>
        <v>0</v>
      </c>
      <c r="AI25" s="15">
        <f t="shared" si="5"/>
        <v>0</v>
      </c>
      <c r="AJ25" s="94">
        <f t="shared" si="5"/>
        <v>0</v>
      </c>
      <c r="AK25" s="95">
        <f t="shared" si="5"/>
        <v>0</v>
      </c>
      <c r="AL25" s="95">
        <f t="shared" si="5"/>
        <v>0</v>
      </c>
      <c r="AM25" s="95">
        <f t="shared" si="5"/>
        <v>0</v>
      </c>
      <c r="AN25" s="95">
        <f t="shared" si="5"/>
        <v>0</v>
      </c>
      <c r="AO25" s="96">
        <f t="shared" si="5"/>
        <v>0</v>
      </c>
      <c r="AP25" s="97">
        <f t="shared" si="5"/>
        <v>200</v>
      </c>
      <c r="AQ25" s="20">
        <f t="shared" si="5"/>
        <v>0</v>
      </c>
      <c r="AR25" s="98">
        <f t="shared" si="5"/>
        <v>0</v>
      </c>
      <c r="AS25" s="99">
        <f t="shared" si="5"/>
        <v>0</v>
      </c>
      <c r="AT25" s="99">
        <f t="shared" si="5"/>
        <v>0</v>
      </c>
      <c r="AU25" s="23">
        <f t="shared" si="5"/>
        <v>0</v>
      </c>
    </row>
    <row r="26" spans="1:47" x14ac:dyDescent="0.2">
      <c r="A26" s="951">
        <v>7540000</v>
      </c>
      <c r="B26" s="952" t="s">
        <v>72</v>
      </c>
      <c r="C26" s="438"/>
      <c r="D26" s="439"/>
      <c r="E26" s="439"/>
      <c r="F26" s="439"/>
      <c r="G26" s="440"/>
      <c r="H26" s="456"/>
      <c r="I26" s="387"/>
      <c r="J26" s="387"/>
      <c r="K26" s="387"/>
      <c r="L26" s="388"/>
      <c r="M26" s="430"/>
      <c r="N26" s="431"/>
      <c r="O26" s="431"/>
      <c r="P26" s="431"/>
      <c r="Q26" s="431"/>
      <c r="R26" s="432"/>
      <c r="S26" s="466"/>
      <c r="T26" s="467"/>
      <c r="U26" s="399"/>
      <c r="V26" s="400"/>
      <c r="W26" s="400"/>
      <c r="X26" s="401"/>
      <c r="Z26" s="898"/>
      <c r="AA26" s="899"/>
      <c r="AB26" s="899"/>
      <c r="AC26" s="899"/>
      <c r="AD26" s="900"/>
      <c r="AE26" s="901"/>
      <c r="AF26" s="902"/>
      <c r="AG26" s="902"/>
      <c r="AH26" s="902"/>
      <c r="AI26" s="903"/>
      <c r="AJ26" s="904"/>
      <c r="AK26" s="905"/>
      <c r="AL26" s="905"/>
      <c r="AM26" s="905"/>
      <c r="AN26" s="905"/>
      <c r="AO26" s="906"/>
      <c r="AP26" s="907"/>
      <c r="AQ26" s="908"/>
      <c r="AR26" s="909"/>
      <c r="AS26" s="910"/>
      <c r="AT26" s="910"/>
      <c r="AU26" s="911"/>
    </row>
    <row r="27" spans="1:47" x14ac:dyDescent="0.2">
      <c r="A27" s="951">
        <v>7540009</v>
      </c>
      <c r="B27" s="952" t="s">
        <v>73</v>
      </c>
      <c r="C27" s="441"/>
      <c r="D27" s="442"/>
      <c r="E27" s="442"/>
      <c r="F27" s="442"/>
      <c r="G27" s="443"/>
      <c r="H27" s="457"/>
      <c r="I27" s="390"/>
      <c r="J27" s="390"/>
      <c r="K27" s="390"/>
      <c r="L27" s="391"/>
      <c r="M27" s="418"/>
      <c r="N27" s="419"/>
      <c r="O27" s="419"/>
      <c r="P27" s="419"/>
      <c r="Q27" s="419"/>
      <c r="R27" s="420"/>
      <c r="S27" s="468"/>
      <c r="T27" s="453"/>
      <c r="U27" s="402"/>
      <c r="V27" s="403"/>
      <c r="W27" s="403"/>
      <c r="X27" s="404"/>
      <c r="Z27" s="913"/>
      <c r="AA27" s="914"/>
      <c r="AB27" s="914"/>
      <c r="AC27" s="914"/>
      <c r="AD27" s="915"/>
      <c r="AE27" s="916"/>
      <c r="AF27" s="917"/>
      <c r="AG27" s="917"/>
      <c r="AH27" s="917"/>
      <c r="AI27" s="918"/>
      <c r="AJ27" s="919"/>
      <c r="AK27" s="920"/>
      <c r="AL27" s="920"/>
      <c r="AM27" s="920"/>
      <c r="AN27" s="920"/>
      <c r="AO27" s="921"/>
      <c r="AP27" s="922"/>
      <c r="AQ27" s="923"/>
      <c r="AR27" s="924"/>
      <c r="AS27" s="925"/>
      <c r="AT27" s="925"/>
      <c r="AU27" s="926"/>
    </row>
    <row r="28" spans="1:47" x14ac:dyDescent="0.2">
      <c r="A28" s="951">
        <v>7560000</v>
      </c>
      <c r="B28" s="952" t="s">
        <v>74</v>
      </c>
      <c r="C28" s="441"/>
      <c r="D28" s="442"/>
      <c r="E28" s="442"/>
      <c r="F28" s="442"/>
      <c r="G28" s="443"/>
      <c r="H28" s="457"/>
      <c r="I28" s="390"/>
      <c r="J28" s="390"/>
      <c r="K28" s="390"/>
      <c r="L28" s="391"/>
      <c r="M28" s="418"/>
      <c r="N28" s="419"/>
      <c r="O28" s="419"/>
      <c r="P28" s="419"/>
      <c r="Q28" s="419"/>
      <c r="R28" s="420"/>
      <c r="S28" s="468">
        <v>110</v>
      </c>
      <c r="T28" s="453"/>
      <c r="U28" s="402"/>
      <c r="V28" s="403"/>
      <c r="W28" s="403"/>
      <c r="X28" s="404"/>
      <c r="Z28" s="913"/>
      <c r="AA28" s="914"/>
      <c r="AB28" s="914"/>
      <c r="AC28" s="914"/>
      <c r="AD28" s="915"/>
      <c r="AE28" s="916"/>
      <c r="AF28" s="917"/>
      <c r="AG28" s="917"/>
      <c r="AH28" s="917"/>
      <c r="AI28" s="918"/>
      <c r="AJ28" s="919"/>
      <c r="AK28" s="920"/>
      <c r="AL28" s="920"/>
      <c r="AM28" s="920"/>
      <c r="AN28" s="920"/>
      <c r="AO28" s="921"/>
      <c r="AP28" s="922">
        <f>+'OLD BP Fonct'!G19</f>
        <v>200</v>
      </c>
      <c r="AQ28" s="923"/>
      <c r="AR28" s="924"/>
      <c r="AS28" s="925"/>
      <c r="AT28" s="925"/>
      <c r="AU28" s="926"/>
    </row>
    <row r="29" spans="1:47" x14ac:dyDescent="0.2">
      <c r="A29" s="953">
        <v>7580000</v>
      </c>
      <c r="B29" s="912" t="s">
        <v>75</v>
      </c>
      <c r="C29" s="441"/>
      <c r="D29" s="442"/>
      <c r="E29" s="442"/>
      <c r="F29" s="442"/>
      <c r="G29" s="443"/>
      <c r="H29" s="457"/>
      <c r="I29" s="390"/>
      <c r="J29" s="390"/>
      <c r="K29" s="390"/>
      <c r="L29" s="391"/>
      <c r="M29" s="418"/>
      <c r="N29" s="419"/>
      <c r="O29" s="419"/>
      <c r="P29" s="419"/>
      <c r="Q29" s="419"/>
      <c r="R29" s="420"/>
      <c r="S29" s="468"/>
      <c r="T29" s="453"/>
      <c r="U29" s="402"/>
      <c r="V29" s="403"/>
      <c r="W29" s="403"/>
      <c r="X29" s="404"/>
      <c r="Z29" s="913"/>
      <c r="AA29" s="914"/>
      <c r="AB29" s="914"/>
      <c r="AC29" s="914"/>
      <c r="AD29" s="915"/>
      <c r="AE29" s="916"/>
      <c r="AF29" s="917"/>
      <c r="AG29" s="917"/>
      <c r="AH29" s="917"/>
      <c r="AI29" s="918"/>
      <c r="AJ29" s="919"/>
      <c r="AK29" s="920"/>
      <c r="AL29" s="920"/>
      <c r="AM29" s="920"/>
      <c r="AN29" s="920"/>
      <c r="AO29" s="921"/>
      <c r="AP29" s="922"/>
      <c r="AQ29" s="923"/>
      <c r="AR29" s="924"/>
      <c r="AS29" s="925"/>
      <c r="AT29" s="925"/>
      <c r="AU29" s="926"/>
    </row>
    <row r="30" spans="1:47" x14ac:dyDescent="0.2">
      <c r="A30" s="953">
        <v>7580009</v>
      </c>
      <c r="B30" s="912" t="s">
        <v>76</v>
      </c>
      <c r="C30" s="441"/>
      <c r="D30" s="442"/>
      <c r="E30" s="442"/>
      <c r="F30" s="442"/>
      <c r="G30" s="443"/>
      <c r="H30" s="457"/>
      <c r="I30" s="390"/>
      <c r="J30" s="390"/>
      <c r="K30" s="390"/>
      <c r="L30" s="391"/>
      <c r="M30" s="418"/>
      <c r="N30" s="419"/>
      <c r="O30" s="419"/>
      <c r="P30" s="419"/>
      <c r="Q30" s="419"/>
      <c r="R30" s="420"/>
      <c r="S30" s="468"/>
      <c r="T30" s="453"/>
      <c r="U30" s="402"/>
      <c r="V30" s="403"/>
      <c r="W30" s="403"/>
      <c r="X30" s="404"/>
      <c r="Z30" s="913"/>
      <c r="AA30" s="914"/>
      <c r="AB30" s="914"/>
      <c r="AC30" s="914"/>
      <c r="AD30" s="915"/>
      <c r="AE30" s="916"/>
      <c r="AF30" s="917"/>
      <c r="AG30" s="917"/>
      <c r="AH30" s="917"/>
      <c r="AI30" s="918"/>
      <c r="AJ30" s="919"/>
      <c r="AK30" s="920"/>
      <c r="AL30" s="920"/>
      <c r="AM30" s="920"/>
      <c r="AN30" s="920"/>
      <c r="AO30" s="921"/>
      <c r="AP30" s="922"/>
      <c r="AQ30" s="923"/>
      <c r="AR30" s="924"/>
      <c r="AS30" s="925"/>
      <c r="AT30" s="925"/>
      <c r="AU30" s="926"/>
    </row>
    <row r="31" spans="1:47" x14ac:dyDescent="0.2">
      <c r="A31" s="953">
        <v>7580029</v>
      </c>
      <c r="B31" s="912" t="s">
        <v>77</v>
      </c>
      <c r="C31" s="441"/>
      <c r="D31" s="442"/>
      <c r="E31" s="442"/>
      <c r="F31" s="442"/>
      <c r="G31" s="443"/>
      <c r="H31" s="457"/>
      <c r="I31" s="390"/>
      <c r="J31" s="390"/>
      <c r="K31" s="390"/>
      <c r="L31" s="391"/>
      <c r="M31" s="418"/>
      <c r="N31" s="419"/>
      <c r="O31" s="419"/>
      <c r="P31" s="419"/>
      <c r="Q31" s="419"/>
      <c r="R31" s="420"/>
      <c r="S31" s="468"/>
      <c r="T31" s="453"/>
      <c r="U31" s="402"/>
      <c r="V31" s="403"/>
      <c r="W31" s="403"/>
      <c r="X31" s="404"/>
      <c r="Z31" s="913"/>
      <c r="AA31" s="914"/>
      <c r="AB31" s="914"/>
      <c r="AC31" s="914"/>
      <c r="AD31" s="915"/>
      <c r="AE31" s="916"/>
      <c r="AF31" s="917"/>
      <c r="AG31" s="917"/>
      <c r="AH31" s="917"/>
      <c r="AI31" s="918"/>
      <c r="AJ31" s="919"/>
      <c r="AK31" s="920"/>
      <c r="AL31" s="920"/>
      <c r="AM31" s="920"/>
      <c r="AN31" s="920"/>
      <c r="AO31" s="921"/>
      <c r="AP31" s="922"/>
      <c r="AQ31" s="923"/>
      <c r="AR31" s="924"/>
      <c r="AS31" s="925"/>
      <c r="AT31" s="925"/>
      <c r="AU31" s="926"/>
    </row>
    <row r="32" spans="1:47" ht="12.75" thickBot="1" x14ac:dyDescent="0.25">
      <c r="A32" s="953">
        <v>7581009</v>
      </c>
      <c r="B32" s="912" t="s">
        <v>78</v>
      </c>
      <c r="C32" s="444"/>
      <c r="D32" s="445"/>
      <c r="E32" s="445"/>
      <c r="F32" s="445"/>
      <c r="G32" s="446"/>
      <c r="H32" s="461"/>
      <c r="I32" s="393"/>
      <c r="J32" s="393"/>
      <c r="K32" s="393"/>
      <c r="L32" s="394"/>
      <c r="M32" s="433"/>
      <c r="N32" s="434"/>
      <c r="O32" s="434"/>
      <c r="P32" s="434"/>
      <c r="Q32" s="434"/>
      <c r="R32" s="435"/>
      <c r="S32" s="471"/>
      <c r="T32" s="472"/>
      <c r="U32" s="405"/>
      <c r="V32" s="406"/>
      <c r="W32" s="406"/>
      <c r="X32" s="407"/>
      <c r="Z32" s="937"/>
      <c r="AA32" s="938"/>
      <c r="AB32" s="938"/>
      <c r="AC32" s="938"/>
      <c r="AD32" s="939"/>
      <c r="AE32" s="940"/>
      <c r="AF32" s="941"/>
      <c r="AG32" s="941"/>
      <c r="AH32" s="941"/>
      <c r="AI32" s="942"/>
      <c r="AJ32" s="943"/>
      <c r="AK32" s="944"/>
      <c r="AL32" s="944"/>
      <c r="AM32" s="944"/>
      <c r="AN32" s="944"/>
      <c r="AO32" s="945"/>
      <c r="AP32" s="946"/>
      <c r="AQ32" s="947"/>
      <c r="AR32" s="948"/>
      <c r="AS32" s="949"/>
      <c r="AT32" s="949"/>
      <c r="AU32" s="950"/>
    </row>
    <row r="33" spans="1:47" ht="12.75" thickBot="1" x14ac:dyDescent="0.25">
      <c r="A33" s="100">
        <v>76</v>
      </c>
      <c r="B33" s="9" t="s">
        <v>79</v>
      </c>
      <c r="C33" s="330">
        <f>C34</f>
        <v>0</v>
      </c>
      <c r="D33" s="331">
        <f t="shared" ref="D33:X33" si="6">D34</f>
        <v>0</v>
      </c>
      <c r="E33" s="331">
        <f t="shared" si="6"/>
        <v>0</v>
      </c>
      <c r="F33" s="331">
        <f t="shared" si="6"/>
        <v>0</v>
      </c>
      <c r="G33" s="332">
        <f t="shared" si="6"/>
        <v>0</v>
      </c>
      <c r="H33" s="291">
        <f t="shared" si="6"/>
        <v>0</v>
      </c>
      <c r="I33" s="292">
        <f t="shared" si="6"/>
        <v>0</v>
      </c>
      <c r="J33" s="292">
        <f t="shared" si="6"/>
        <v>0</v>
      </c>
      <c r="K33" s="292">
        <f t="shared" si="6"/>
        <v>0</v>
      </c>
      <c r="L33" s="293">
        <f t="shared" si="6"/>
        <v>0</v>
      </c>
      <c r="M33" s="334">
        <f t="shared" si="6"/>
        <v>0</v>
      </c>
      <c r="N33" s="335">
        <f t="shared" si="6"/>
        <v>0</v>
      </c>
      <c r="O33" s="335">
        <f t="shared" si="6"/>
        <v>0</v>
      </c>
      <c r="P33" s="335">
        <f t="shared" si="6"/>
        <v>0</v>
      </c>
      <c r="Q33" s="335">
        <f t="shared" si="6"/>
        <v>0</v>
      </c>
      <c r="R33" s="336">
        <f t="shared" si="6"/>
        <v>0</v>
      </c>
      <c r="S33" s="376">
        <f t="shared" si="6"/>
        <v>0</v>
      </c>
      <c r="T33" s="356">
        <f t="shared" si="6"/>
        <v>0</v>
      </c>
      <c r="U33" s="323">
        <f t="shared" si="6"/>
        <v>0</v>
      </c>
      <c r="V33" s="324">
        <f t="shared" si="6"/>
        <v>0</v>
      </c>
      <c r="W33" s="324">
        <f t="shared" si="6"/>
        <v>0</v>
      </c>
      <c r="X33" s="307">
        <f t="shared" si="6"/>
        <v>0</v>
      </c>
      <c r="Z33" s="10">
        <f t="shared" ref="Z33:AU33" si="7">Z34</f>
        <v>0</v>
      </c>
      <c r="AA33" s="11">
        <f t="shared" si="7"/>
        <v>0</v>
      </c>
      <c r="AB33" s="11">
        <f t="shared" si="7"/>
        <v>0</v>
      </c>
      <c r="AC33" s="11">
        <f t="shared" si="7"/>
        <v>0</v>
      </c>
      <c r="AD33" s="12">
        <f t="shared" si="7"/>
        <v>0</v>
      </c>
      <c r="AE33" s="93">
        <f t="shared" si="7"/>
        <v>0</v>
      </c>
      <c r="AF33" s="14">
        <f t="shared" si="7"/>
        <v>0</v>
      </c>
      <c r="AG33" s="14">
        <f t="shared" si="7"/>
        <v>0</v>
      </c>
      <c r="AH33" s="14">
        <f t="shared" si="7"/>
        <v>0</v>
      </c>
      <c r="AI33" s="15">
        <f t="shared" si="7"/>
        <v>0</v>
      </c>
      <c r="AJ33" s="94">
        <f t="shared" si="7"/>
        <v>0</v>
      </c>
      <c r="AK33" s="95">
        <f t="shared" si="7"/>
        <v>0</v>
      </c>
      <c r="AL33" s="95">
        <f t="shared" si="7"/>
        <v>0</v>
      </c>
      <c r="AM33" s="95">
        <f t="shared" si="7"/>
        <v>0</v>
      </c>
      <c r="AN33" s="95">
        <f t="shared" si="7"/>
        <v>0</v>
      </c>
      <c r="AO33" s="96">
        <f t="shared" si="7"/>
        <v>0</v>
      </c>
      <c r="AP33" s="97">
        <f t="shared" si="7"/>
        <v>0</v>
      </c>
      <c r="AQ33" s="20">
        <f t="shared" si="7"/>
        <v>0</v>
      </c>
      <c r="AR33" s="98">
        <f t="shared" si="7"/>
        <v>0</v>
      </c>
      <c r="AS33" s="99">
        <f t="shared" si="7"/>
        <v>0</v>
      </c>
      <c r="AT33" s="99">
        <f t="shared" si="7"/>
        <v>0</v>
      </c>
      <c r="AU33" s="23">
        <f t="shared" si="7"/>
        <v>0</v>
      </c>
    </row>
    <row r="34" spans="1:47" ht="12.75" thickBot="1" x14ac:dyDescent="0.25">
      <c r="A34" s="103">
        <v>7600000</v>
      </c>
      <c r="B34" s="963" t="s">
        <v>79</v>
      </c>
      <c r="C34" s="333"/>
      <c r="D34" s="447"/>
      <c r="E34" s="447"/>
      <c r="F34" s="447"/>
      <c r="G34" s="448"/>
      <c r="H34" s="294"/>
      <c r="I34" s="395"/>
      <c r="J34" s="395"/>
      <c r="K34" s="395"/>
      <c r="L34" s="465"/>
      <c r="M34" s="337"/>
      <c r="N34" s="436"/>
      <c r="O34" s="436"/>
      <c r="P34" s="436"/>
      <c r="Q34" s="436"/>
      <c r="R34" s="437"/>
      <c r="S34" s="377"/>
      <c r="T34" s="452"/>
      <c r="U34" s="325"/>
      <c r="V34" s="413"/>
      <c r="W34" s="413"/>
      <c r="X34" s="414"/>
      <c r="Z34" s="48"/>
      <c r="AA34" s="964"/>
      <c r="AB34" s="964"/>
      <c r="AC34" s="964"/>
      <c r="AD34" s="965"/>
      <c r="AE34" s="104"/>
      <c r="AF34" s="966"/>
      <c r="AG34" s="966"/>
      <c r="AH34" s="966"/>
      <c r="AI34" s="967"/>
      <c r="AJ34" s="105"/>
      <c r="AK34" s="968"/>
      <c r="AL34" s="968"/>
      <c r="AM34" s="968"/>
      <c r="AN34" s="968"/>
      <c r="AO34" s="969"/>
      <c r="AP34" s="106"/>
      <c r="AQ34" s="970"/>
      <c r="AR34" s="107"/>
      <c r="AS34" s="971"/>
      <c r="AT34" s="971"/>
      <c r="AU34" s="972"/>
    </row>
    <row r="35" spans="1:47" ht="12.75" thickBot="1" x14ac:dyDescent="0.25">
      <c r="A35" s="100">
        <v>77</v>
      </c>
      <c r="B35" s="9" t="s">
        <v>80</v>
      </c>
      <c r="C35" s="330">
        <f>SUM(C36:C40)</f>
        <v>0</v>
      </c>
      <c r="D35" s="331">
        <f t="shared" ref="D35:X35" si="8">SUM(D36:D40)</f>
        <v>0</v>
      </c>
      <c r="E35" s="331">
        <f t="shared" si="8"/>
        <v>0</v>
      </c>
      <c r="F35" s="331">
        <f t="shared" si="8"/>
        <v>0</v>
      </c>
      <c r="G35" s="332">
        <f t="shared" si="8"/>
        <v>0</v>
      </c>
      <c r="H35" s="291">
        <f t="shared" si="8"/>
        <v>0</v>
      </c>
      <c r="I35" s="292">
        <f t="shared" si="8"/>
        <v>0</v>
      </c>
      <c r="J35" s="292">
        <f t="shared" si="8"/>
        <v>0</v>
      </c>
      <c r="K35" s="292">
        <f t="shared" si="8"/>
        <v>0</v>
      </c>
      <c r="L35" s="293">
        <f t="shared" si="8"/>
        <v>0</v>
      </c>
      <c r="M35" s="334">
        <f t="shared" si="8"/>
        <v>0</v>
      </c>
      <c r="N35" s="335">
        <f t="shared" si="8"/>
        <v>0</v>
      </c>
      <c r="O35" s="335">
        <f t="shared" si="8"/>
        <v>0</v>
      </c>
      <c r="P35" s="335">
        <f t="shared" si="8"/>
        <v>0</v>
      </c>
      <c r="Q35" s="335">
        <f t="shared" si="8"/>
        <v>0</v>
      </c>
      <c r="R35" s="336">
        <f t="shared" si="8"/>
        <v>0</v>
      </c>
      <c r="S35" s="376">
        <f t="shared" si="8"/>
        <v>0</v>
      </c>
      <c r="T35" s="356">
        <f t="shared" si="8"/>
        <v>0</v>
      </c>
      <c r="U35" s="323">
        <f t="shared" si="8"/>
        <v>0</v>
      </c>
      <c r="V35" s="324">
        <f t="shared" si="8"/>
        <v>0</v>
      </c>
      <c r="W35" s="324">
        <f t="shared" si="8"/>
        <v>0</v>
      </c>
      <c r="X35" s="307">
        <f t="shared" si="8"/>
        <v>0</v>
      </c>
      <c r="Z35" s="10">
        <f t="shared" ref="Z35:AU35" si="9">SUM(Z36:Z40)</f>
        <v>0</v>
      </c>
      <c r="AA35" s="11">
        <f t="shared" si="9"/>
        <v>0</v>
      </c>
      <c r="AB35" s="11">
        <f t="shared" si="9"/>
        <v>0</v>
      </c>
      <c r="AC35" s="11">
        <f t="shared" si="9"/>
        <v>0</v>
      </c>
      <c r="AD35" s="12">
        <f t="shared" si="9"/>
        <v>0</v>
      </c>
      <c r="AE35" s="93">
        <f t="shared" si="9"/>
        <v>0</v>
      </c>
      <c r="AF35" s="14">
        <f t="shared" si="9"/>
        <v>0</v>
      </c>
      <c r="AG35" s="14">
        <f t="shared" si="9"/>
        <v>0</v>
      </c>
      <c r="AH35" s="14">
        <f t="shared" si="9"/>
        <v>0</v>
      </c>
      <c r="AI35" s="15">
        <f t="shared" si="9"/>
        <v>0</v>
      </c>
      <c r="AJ35" s="94">
        <f t="shared" si="9"/>
        <v>0</v>
      </c>
      <c r="AK35" s="95">
        <f t="shared" si="9"/>
        <v>0</v>
      </c>
      <c r="AL35" s="95">
        <f t="shared" si="9"/>
        <v>0</v>
      </c>
      <c r="AM35" s="95">
        <f t="shared" si="9"/>
        <v>0</v>
      </c>
      <c r="AN35" s="95">
        <f t="shared" si="9"/>
        <v>0</v>
      </c>
      <c r="AO35" s="96">
        <f t="shared" si="9"/>
        <v>0</v>
      </c>
      <c r="AP35" s="97">
        <f t="shared" si="9"/>
        <v>0</v>
      </c>
      <c r="AQ35" s="20">
        <f t="shared" si="9"/>
        <v>0</v>
      </c>
      <c r="AR35" s="98">
        <f t="shared" si="9"/>
        <v>0</v>
      </c>
      <c r="AS35" s="99">
        <f t="shared" si="9"/>
        <v>0</v>
      </c>
      <c r="AT35" s="99">
        <f t="shared" si="9"/>
        <v>0</v>
      </c>
      <c r="AU35" s="23">
        <f t="shared" si="9"/>
        <v>0</v>
      </c>
    </row>
    <row r="36" spans="1:47" x14ac:dyDescent="0.2">
      <c r="A36" s="108">
        <v>7718000</v>
      </c>
      <c r="B36" s="25" t="s">
        <v>80</v>
      </c>
      <c r="C36" s="438"/>
      <c r="D36" s="439"/>
      <c r="E36" s="439"/>
      <c r="F36" s="439"/>
      <c r="G36" s="440"/>
      <c r="H36" s="456"/>
      <c r="I36" s="387"/>
      <c r="J36" s="387"/>
      <c r="K36" s="387"/>
      <c r="L36" s="388"/>
      <c r="M36" s="430"/>
      <c r="N36" s="431"/>
      <c r="O36" s="431"/>
      <c r="P36" s="431"/>
      <c r="Q36" s="431"/>
      <c r="R36" s="432"/>
      <c r="S36" s="466"/>
      <c r="T36" s="467"/>
      <c r="U36" s="399"/>
      <c r="V36" s="400"/>
      <c r="W36" s="400"/>
      <c r="X36" s="401"/>
      <c r="Z36" s="898"/>
      <c r="AA36" s="899"/>
      <c r="AB36" s="899"/>
      <c r="AC36" s="899"/>
      <c r="AD36" s="900"/>
      <c r="AE36" s="901"/>
      <c r="AF36" s="902"/>
      <c r="AG36" s="902"/>
      <c r="AH36" s="902"/>
      <c r="AI36" s="903"/>
      <c r="AJ36" s="904"/>
      <c r="AK36" s="905"/>
      <c r="AL36" s="905"/>
      <c r="AM36" s="905"/>
      <c r="AN36" s="905"/>
      <c r="AO36" s="906"/>
      <c r="AP36" s="907"/>
      <c r="AQ36" s="908"/>
      <c r="AR36" s="909"/>
      <c r="AS36" s="910"/>
      <c r="AT36" s="910"/>
      <c r="AU36" s="911"/>
    </row>
    <row r="37" spans="1:47" x14ac:dyDescent="0.2">
      <c r="A37" s="951">
        <v>7720000</v>
      </c>
      <c r="B37" s="952" t="s">
        <v>81</v>
      </c>
      <c r="C37" s="441"/>
      <c r="D37" s="442"/>
      <c r="E37" s="442"/>
      <c r="F37" s="442"/>
      <c r="G37" s="443"/>
      <c r="H37" s="457"/>
      <c r="I37" s="390"/>
      <c r="J37" s="390"/>
      <c r="K37" s="390"/>
      <c r="L37" s="391"/>
      <c r="M37" s="418"/>
      <c r="N37" s="419"/>
      <c r="O37" s="419"/>
      <c r="P37" s="419"/>
      <c r="Q37" s="419"/>
      <c r="R37" s="420"/>
      <c r="S37" s="468"/>
      <c r="T37" s="453"/>
      <c r="U37" s="402"/>
      <c r="V37" s="403"/>
      <c r="W37" s="403"/>
      <c r="X37" s="404"/>
      <c r="Z37" s="913"/>
      <c r="AA37" s="914"/>
      <c r="AB37" s="914"/>
      <c r="AC37" s="914"/>
      <c r="AD37" s="915"/>
      <c r="AE37" s="916"/>
      <c r="AF37" s="917"/>
      <c r="AG37" s="917"/>
      <c r="AH37" s="917"/>
      <c r="AI37" s="918"/>
      <c r="AJ37" s="919"/>
      <c r="AK37" s="920"/>
      <c r="AL37" s="920"/>
      <c r="AM37" s="920"/>
      <c r="AN37" s="920"/>
      <c r="AO37" s="921"/>
      <c r="AP37" s="922"/>
      <c r="AQ37" s="923"/>
      <c r="AR37" s="924"/>
      <c r="AS37" s="925"/>
      <c r="AT37" s="925"/>
      <c r="AU37" s="926"/>
    </row>
    <row r="38" spans="1:47" x14ac:dyDescent="0.2">
      <c r="A38" s="953">
        <v>7750000</v>
      </c>
      <c r="B38" s="912" t="s">
        <v>82</v>
      </c>
      <c r="C38" s="441"/>
      <c r="D38" s="442"/>
      <c r="E38" s="442"/>
      <c r="F38" s="442"/>
      <c r="G38" s="443"/>
      <c r="H38" s="457"/>
      <c r="I38" s="390"/>
      <c r="J38" s="390"/>
      <c r="K38" s="390"/>
      <c r="L38" s="391"/>
      <c r="M38" s="418"/>
      <c r="N38" s="419"/>
      <c r="O38" s="419"/>
      <c r="P38" s="419"/>
      <c r="Q38" s="419"/>
      <c r="R38" s="420"/>
      <c r="S38" s="468"/>
      <c r="T38" s="453"/>
      <c r="U38" s="402"/>
      <c r="V38" s="403"/>
      <c r="W38" s="403"/>
      <c r="X38" s="404"/>
      <c r="Z38" s="913"/>
      <c r="AA38" s="914"/>
      <c r="AB38" s="914"/>
      <c r="AC38" s="914"/>
      <c r="AD38" s="915"/>
      <c r="AE38" s="916"/>
      <c r="AF38" s="917"/>
      <c r="AG38" s="917"/>
      <c r="AH38" s="917"/>
      <c r="AI38" s="918"/>
      <c r="AJ38" s="919"/>
      <c r="AK38" s="920"/>
      <c r="AL38" s="920"/>
      <c r="AM38" s="920"/>
      <c r="AN38" s="920"/>
      <c r="AO38" s="921"/>
      <c r="AP38" s="922"/>
      <c r="AQ38" s="923"/>
      <c r="AR38" s="924"/>
      <c r="AS38" s="925"/>
      <c r="AT38" s="925"/>
      <c r="AU38" s="926"/>
    </row>
    <row r="39" spans="1:47" x14ac:dyDescent="0.2">
      <c r="A39" s="953">
        <v>7770000</v>
      </c>
      <c r="B39" s="912" t="s">
        <v>83</v>
      </c>
      <c r="C39" s="441"/>
      <c r="D39" s="442"/>
      <c r="E39" s="442"/>
      <c r="F39" s="442"/>
      <c r="G39" s="443"/>
      <c r="H39" s="457"/>
      <c r="I39" s="390"/>
      <c r="J39" s="390"/>
      <c r="K39" s="390"/>
      <c r="L39" s="391"/>
      <c r="M39" s="418"/>
      <c r="N39" s="419"/>
      <c r="O39" s="419"/>
      <c r="P39" s="419"/>
      <c r="Q39" s="419"/>
      <c r="R39" s="420"/>
      <c r="S39" s="468"/>
      <c r="T39" s="453"/>
      <c r="U39" s="402"/>
      <c r="V39" s="403"/>
      <c r="W39" s="403"/>
      <c r="X39" s="404"/>
      <c r="Z39" s="913"/>
      <c r="AA39" s="914"/>
      <c r="AB39" s="914"/>
      <c r="AC39" s="914"/>
      <c r="AD39" s="915"/>
      <c r="AE39" s="916"/>
      <c r="AF39" s="917"/>
      <c r="AG39" s="917"/>
      <c r="AH39" s="917"/>
      <c r="AI39" s="918"/>
      <c r="AJ39" s="919"/>
      <c r="AK39" s="920"/>
      <c r="AL39" s="920"/>
      <c r="AM39" s="920"/>
      <c r="AN39" s="920"/>
      <c r="AO39" s="921"/>
      <c r="AP39" s="922"/>
      <c r="AQ39" s="923"/>
      <c r="AR39" s="924"/>
      <c r="AS39" s="925"/>
      <c r="AT39" s="925"/>
      <c r="AU39" s="926"/>
    </row>
    <row r="40" spans="1:47" ht="12.75" thickBot="1" x14ac:dyDescent="0.25">
      <c r="A40" s="973">
        <v>7815000</v>
      </c>
      <c r="B40" s="974" t="s">
        <v>84</v>
      </c>
      <c r="C40" s="444"/>
      <c r="D40" s="445"/>
      <c r="E40" s="445"/>
      <c r="F40" s="445"/>
      <c r="G40" s="446"/>
      <c r="H40" s="461"/>
      <c r="I40" s="393"/>
      <c r="J40" s="393"/>
      <c r="K40" s="393"/>
      <c r="L40" s="394"/>
      <c r="M40" s="433"/>
      <c r="N40" s="434"/>
      <c r="O40" s="434"/>
      <c r="P40" s="434"/>
      <c r="Q40" s="434"/>
      <c r="R40" s="435"/>
      <c r="S40" s="471"/>
      <c r="T40" s="472"/>
      <c r="U40" s="405"/>
      <c r="V40" s="406"/>
      <c r="W40" s="406"/>
      <c r="X40" s="407"/>
      <c r="Z40" s="937"/>
      <c r="AA40" s="938"/>
      <c r="AB40" s="938"/>
      <c r="AC40" s="938"/>
      <c r="AD40" s="939"/>
      <c r="AE40" s="940"/>
      <c r="AF40" s="941"/>
      <c r="AG40" s="941"/>
      <c r="AH40" s="941"/>
      <c r="AI40" s="942"/>
      <c r="AJ40" s="943"/>
      <c r="AK40" s="944"/>
      <c r="AL40" s="944"/>
      <c r="AM40" s="944"/>
      <c r="AN40" s="944"/>
      <c r="AO40" s="945"/>
      <c r="AP40" s="946"/>
      <c r="AQ40" s="947"/>
      <c r="AR40" s="948"/>
      <c r="AS40" s="949"/>
      <c r="AT40" s="949"/>
      <c r="AU40" s="950"/>
    </row>
    <row r="41" spans="1:47" ht="12.75" thickBot="1" x14ac:dyDescent="0.25">
      <c r="A41" s="8">
        <v>7910000</v>
      </c>
      <c r="B41" s="9" t="s">
        <v>85</v>
      </c>
      <c r="C41" s="369"/>
      <c r="D41" s="370"/>
      <c r="E41" s="370"/>
      <c r="F41" s="370"/>
      <c r="G41" s="371"/>
      <c r="H41" s="295"/>
      <c r="I41" s="296"/>
      <c r="J41" s="296"/>
      <c r="K41" s="296"/>
      <c r="L41" s="297"/>
      <c r="M41" s="381"/>
      <c r="N41" s="382"/>
      <c r="O41" s="382"/>
      <c r="P41" s="382"/>
      <c r="Q41" s="382"/>
      <c r="R41" s="383"/>
      <c r="S41" s="378"/>
      <c r="T41" s="379"/>
      <c r="U41" s="326"/>
      <c r="V41" s="327"/>
      <c r="W41" s="327"/>
      <c r="X41" s="328"/>
      <c r="Z41" s="109"/>
      <c r="AA41" s="110"/>
      <c r="AB41" s="110"/>
      <c r="AC41" s="110"/>
      <c r="AD41" s="111"/>
      <c r="AE41" s="112"/>
      <c r="AF41" s="113"/>
      <c r="AG41" s="113"/>
      <c r="AH41" s="113"/>
      <c r="AI41" s="114"/>
      <c r="AJ41" s="115"/>
      <c r="AK41" s="116"/>
      <c r="AL41" s="116"/>
      <c r="AM41" s="116"/>
      <c r="AN41" s="116"/>
      <c r="AO41" s="117"/>
      <c r="AP41" s="118"/>
      <c r="AQ41" s="119"/>
      <c r="AR41" s="120"/>
      <c r="AS41" s="121"/>
      <c r="AT41" s="121"/>
      <c r="AU41" s="122"/>
    </row>
    <row r="42" spans="1:47" ht="12.75" thickBot="1" x14ac:dyDescent="0.25">
      <c r="A42" s="123"/>
      <c r="B42" s="9" t="s">
        <v>86</v>
      </c>
      <c r="C42" s="372">
        <f>C5+C15+C25+C33+C35+C41</f>
        <v>0</v>
      </c>
      <c r="D42" s="373">
        <f t="shared" ref="D42:X42" si="10">D5+D15+D25+D33+D35+D41</f>
        <v>0</v>
      </c>
      <c r="E42" s="373">
        <f t="shared" si="10"/>
        <v>0</v>
      </c>
      <c r="F42" s="373">
        <f t="shared" si="10"/>
        <v>3679</v>
      </c>
      <c r="G42" s="374">
        <f t="shared" si="10"/>
        <v>0</v>
      </c>
      <c r="H42" s="298">
        <f t="shared" si="10"/>
        <v>5960</v>
      </c>
      <c r="I42" s="299">
        <f>I5+I15+I25+I33+I35+I41</f>
        <v>0</v>
      </c>
      <c r="J42" s="299">
        <f t="shared" si="10"/>
        <v>0</v>
      </c>
      <c r="K42" s="299">
        <f t="shared" si="10"/>
        <v>15000</v>
      </c>
      <c r="L42" s="300">
        <f t="shared" si="10"/>
        <v>0</v>
      </c>
      <c r="M42" s="384">
        <f t="shared" si="10"/>
        <v>8500</v>
      </c>
      <c r="N42" s="375">
        <f t="shared" si="10"/>
        <v>0</v>
      </c>
      <c r="O42" s="375">
        <f t="shared" si="10"/>
        <v>0</v>
      </c>
      <c r="P42" s="375">
        <f t="shared" si="10"/>
        <v>0</v>
      </c>
      <c r="Q42" s="375">
        <f t="shared" si="10"/>
        <v>0</v>
      </c>
      <c r="R42" s="354">
        <f t="shared" si="10"/>
        <v>3000</v>
      </c>
      <c r="S42" s="380">
        <f t="shared" si="10"/>
        <v>13830</v>
      </c>
      <c r="T42" s="373">
        <f t="shared" si="10"/>
        <v>0</v>
      </c>
      <c r="U42" s="329">
        <f t="shared" si="10"/>
        <v>0</v>
      </c>
      <c r="V42" s="329">
        <f t="shared" si="10"/>
        <v>0</v>
      </c>
      <c r="W42" s="329">
        <f t="shared" si="10"/>
        <v>0</v>
      </c>
      <c r="X42" s="314">
        <f t="shared" si="10"/>
        <v>0</v>
      </c>
      <c r="Z42" s="124">
        <f t="shared" ref="Z42:AU42" si="11">Z5+Z15+Z25+Z33+Z35+Z41</f>
        <v>0</v>
      </c>
      <c r="AA42" s="125">
        <f t="shared" si="11"/>
        <v>0</v>
      </c>
      <c r="AB42" s="125">
        <f t="shared" si="11"/>
        <v>0</v>
      </c>
      <c r="AC42" s="125">
        <f t="shared" si="11"/>
        <v>1905.6170833333333</v>
      </c>
      <c r="AD42" s="126">
        <f t="shared" si="11"/>
        <v>0</v>
      </c>
      <c r="AE42" s="127">
        <f t="shared" si="11"/>
        <v>6000</v>
      </c>
      <c r="AF42" s="128">
        <f t="shared" si="11"/>
        <v>0</v>
      </c>
      <c r="AG42" s="128">
        <f t="shared" si="11"/>
        <v>0</v>
      </c>
      <c r="AH42" s="128">
        <f t="shared" si="11"/>
        <v>11375</v>
      </c>
      <c r="AI42" s="129">
        <f t="shared" si="11"/>
        <v>0</v>
      </c>
      <c r="AJ42" s="130">
        <f t="shared" si="11"/>
        <v>8550</v>
      </c>
      <c r="AK42" s="131">
        <f t="shared" si="11"/>
        <v>0</v>
      </c>
      <c r="AL42" s="131">
        <f t="shared" si="11"/>
        <v>25500</v>
      </c>
      <c r="AM42" s="131">
        <f t="shared" si="11"/>
        <v>0</v>
      </c>
      <c r="AN42" s="131">
        <f t="shared" si="11"/>
        <v>0</v>
      </c>
      <c r="AO42" s="132">
        <f t="shared" si="11"/>
        <v>0</v>
      </c>
      <c r="AP42" s="133">
        <f t="shared" si="11"/>
        <v>11606.56291666668</v>
      </c>
      <c r="AQ42" s="125">
        <f t="shared" si="11"/>
        <v>0</v>
      </c>
      <c r="AR42" s="134">
        <f t="shared" si="11"/>
        <v>0</v>
      </c>
      <c r="AS42" s="134">
        <f t="shared" si="11"/>
        <v>0</v>
      </c>
      <c r="AT42" s="134">
        <f t="shared" si="11"/>
        <v>0</v>
      </c>
      <c r="AU42" s="46">
        <f t="shared" si="11"/>
        <v>0</v>
      </c>
    </row>
  </sheetData>
  <mergeCells count="2">
    <mergeCell ref="C1:X2"/>
    <mergeCell ref="Z1:AU2"/>
  </mergeCells>
  <pageMargins left="0.118055555555556" right="0.118055555555556" top="0.55138888888888904" bottom="0.35416666666666702" header="0.51180555555555496" footer="0.51180555555555496"/>
  <pageSetup paperSize="9" scale="81" firstPageNumber="0" orientation="landscape" horizontalDpi="300" verticalDpi="300" r:id="rId1"/>
  <headerFooter>
    <oddFooter>&amp;C&amp;1#&amp;"Calibri"&amp;10&amp;K000000Usage Interne /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31"/>
  <sheetViews>
    <sheetView workbookViewId="0">
      <selection sqref="A1:I1"/>
    </sheetView>
  </sheetViews>
  <sheetFormatPr defaultColWidth="11.42578125" defaultRowHeight="12" x14ac:dyDescent="0.2"/>
  <cols>
    <col min="1" max="16384" width="11.42578125" style="385"/>
  </cols>
  <sheetData>
    <row r="1" spans="1:26" ht="15.75" x14ac:dyDescent="0.25">
      <c r="A1" s="1276"/>
      <c r="B1" s="1276"/>
      <c r="C1" s="1276"/>
      <c r="D1" s="1276"/>
      <c r="E1" s="1276"/>
      <c r="F1" s="1276"/>
      <c r="G1" s="1276"/>
      <c r="H1" s="1276"/>
      <c r="I1" s="1276"/>
      <c r="J1" s="975"/>
      <c r="K1" s="975"/>
      <c r="L1" s="975"/>
      <c r="M1" s="975"/>
      <c r="N1" s="975"/>
      <c r="O1" s="975"/>
      <c r="P1" s="975"/>
      <c r="Q1" s="975"/>
      <c r="R1" s="975"/>
      <c r="S1" s="975"/>
      <c r="T1" s="975"/>
      <c r="U1" s="976"/>
      <c r="V1" s="976"/>
      <c r="W1" s="976"/>
      <c r="X1" s="976"/>
      <c r="Y1" s="976"/>
      <c r="Z1" s="976"/>
    </row>
    <row r="2" spans="1:26" ht="15.75" x14ac:dyDescent="0.25">
      <c r="A2" s="1277" t="s">
        <v>87</v>
      </c>
      <c r="B2" s="1277"/>
      <c r="C2" s="1277"/>
      <c r="D2" s="1277"/>
      <c r="E2" s="1277"/>
      <c r="F2" s="1277"/>
      <c r="G2" s="1277"/>
      <c r="H2" s="1277"/>
      <c r="I2" s="1277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6"/>
      <c r="V2" s="976"/>
      <c r="W2" s="976"/>
      <c r="X2" s="976"/>
      <c r="Y2" s="976"/>
      <c r="Z2" s="976"/>
    </row>
    <row r="3" spans="1:26" ht="15.75" x14ac:dyDescent="0.25">
      <c r="A3" s="1275" t="s">
        <v>88</v>
      </c>
      <c r="B3" s="1275"/>
      <c r="C3" s="1275"/>
      <c r="D3" s="1275"/>
      <c r="E3" s="1275"/>
      <c r="F3" s="1275"/>
      <c r="G3" s="1275"/>
      <c r="H3" s="1275"/>
      <c r="I3" s="1275"/>
      <c r="J3" s="975"/>
      <c r="K3" s="975"/>
      <c r="L3" s="975"/>
      <c r="M3" s="975"/>
      <c r="N3" s="975"/>
      <c r="O3" s="975"/>
      <c r="P3" s="975"/>
      <c r="Q3" s="975"/>
      <c r="R3" s="975"/>
      <c r="S3" s="975"/>
      <c r="T3" s="975"/>
      <c r="U3" s="976"/>
      <c r="V3" s="976"/>
      <c r="W3" s="976"/>
      <c r="X3" s="976"/>
      <c r="Y3" s="976"/>
      <c r="Z3" s="976"/>
    </row>
    <row r="4" spans="1:26" ht="15" x14ac:dyDescent="0.25">
      <c r="A4" s="485" t="s">
        <v>89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975"/>
      <c r="N4" s="975"/>
      <c r="O4" s="975"/>
      <c r="P4" s="975"/>
      <c r="Q4" s="975"/>
      <c r="R4" s="975"/>
      <c r="S4" s="975"/>
      <c r="T4" s="975"/>
      <c r="U4" s="976"/>
      <c r="V4" s="976"/>
      <c r="W4" s="976"/>
      <c r="X4" s="976"/>
      <c r="Y4" s="976"/>
      <c r="Z4" s="976"/>
    </row>
    <row r="5" spans="1:26" ht="15" x14ac:dyDescent="0.25">
      <c r="A5" s="485" t="s">
        <v>90</v>
      </c>
      <c r="B5" s="486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975"/>
      <c r="N5" s="975"/>
      <c r="O5" s="975"/>
      <c r="P5" s="975"/>
      <c r="Q5" s="975"/>
      <c r="R5" s="975"/>
      <c r="S5" s="975"/>
      <c r="T5" s="975"/>
      <c r="U5" s="976"/>
      <c r="V5" s="976"/>
      <c r="W5" s="976"/>
      <c r="X5" s="976"/>
      <c r="Y5" s="976"/>
      <c r="Z5" s="976"/>
    </row>
    <row r="6" spans="1:26" ht="15" x14ac:dyDescent="0.25">
      <c r="A6" s="485" t="s">
        <v>91</v>
      </c>
      <c r="B6" s="486"/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975"/>
      <c r="N6" s="975"/>
      <c r="O6" s="975"/>
      <c r="P6" s="975"/>
      <c r="Q6" s="975"/>
      <c r="R6" s="975"/>
      <c r="S6" s="975"/>
      <c r="T6" s="975"/>
      <c r="U6" s="976"/>
      <c r="V6" s="976"/>
      <c r="W6" s="976"/>
      <c r="X6" s="976"/>
      <c r="Y6" s="976"/>
      <c r="Z6" s="976"/>
    </row>
    <row r="7" spans="1:26" ht="15" x14ac:dyDescent="0.25">
      <c r="A7" s="1278"/>
      <c r="B7" s="1278"/>
      <c r="C7" s="1278"/>
      <c r="D7" s="1278"/>
      <c r="E7" s="1278"/>
      <c r="F7" s="1278"/>
      <c r="G7" s="1278"/>
      <c r="H7" s="1278"/>
      <c r="I7" s="1278"/>
      <c r="J7" s="486"/>
      <c r="K7" s="486"/>
      <c r="L7" s="486"/>
      <c r="M7" s="975"/>
      <c r="N7" s="975"/>
      <c r="O7" s="975"/>
      <c r="P7" s="975"/>
      <c r="Q7" s="975"/>
      <c r="R7" s="975"/>
      <c r="S7" s="975"/>
      <c r="T7" s="975"/>
      <c r="U7" s="976"/>
      <c r="V7" s="976"/>
      <c r="W7" s="976"/>
      <c r="X7" s="976"/>
      <c r="Y7" s="976"/>
      <c r="Z7" s="976"/>
    </row>
    <row r="8" spans="1:26" ht="15" x14ac:dyDescent="0.25">
      <c r="A8" s="975"/>
      <c r="B8" s="486"/>
      <c r="C8" s="486"/>
      <c r="D8" s="486"/>
      <c r="E8" s="486"/>
      <c r="F8" s="486"/>
      <c r="G8" s="486"/>
      <c r="H8" s="486"/>
      <c r="I8" s="486"/>
      <c r="J8" s="975"/>
      <c r="K8" s="975"/>
      <c r="L8" s="975"/>
      <c r="M8" s="975"/>
      <c r="N8" s="975"/>
      <c r="O8" s="975"/>
      <c r="P8" s="975"/>
      <c r="Q8" s="975"/>
      <c r="R8" s="975"/>
      <c r="S8" s="975"/>
      <c r="T8" s="975"/>
      <c r="U8" s="976"/>
      <c r="V8" s="976"/>
      <c r="W8" s="976"/>
      <c r="X8" s="976"/>
      <c r="Y8" s="976"/>
      <c r="Z8" s="976"/>
    </row>
    <row r="9" spans="1:26" ht="15" x14ac:dyDescent="0.25">
      <c r="A9" s="975"/>
      <c r="B9" s="486"/>
      <c r="C9" s="486"/>
      <c r="D9" s="486"/>
      <c r="E9" s="486"/>
      <c r="F9" s="486"/>
      <c r="G9" s="486"/>
      <c r="H9" s="486"/>
      <c r="I9" s="486"/>
      <c r="J9" s="975"/>
      <c r="K9" s="975"/>
      <c r="L9" s="975"/>
      <c r="M9" s="975"/>
      <c r="N9" s="975"/>
      <c r="O9" s="975"/>
      <c r="P9" s="975"/>
      <c r="Q9" s="975"/>
      <c r="R9" s="975"/>
      <c r="S9" s="975"/>
      <c r="T9" s="975"/>
      <c r="U9" s="976"/>
      <c r="V9" s="976"/>
      <c r="W9" s="976"/>
      <c r="X9" s="976"/>
      <c r="Y9" s="976"/>
      <c r="Z9" s="976"/>
    </row>
    <row r="10" spans="1:26" ht="15" x14ac:dyDescent="0.25">
      <c r="A10" s="975"/>
      <c r="B10" s="486"/>
      <c r="C10" s="486"/>
      <c r="D10" s="486"/>
      <c r="E10" s="486"/>
      <c r="F10" s="486"/>
      <c r="G10" s="486"/>
      <c r="H10" s="486"/>
      <c r="I10" s="486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6"/>
      <c r="V10" s="976"/>
      <c r="W10" s="976"/>
      <c r="X10" s="976"/>
      <c r="Y10" s="976"/>
      <c r="Z10" s="976"/>
    </row>
    <row r="11" spans="1:26" ht="15" x14ac:dyDescent="0.25">
      <c r="A11" s="1269"/>
      <c r="B11" s="1269"/>
      <c r="C11" s="1269"/>
      <c r="D11" s="1269"/>
      <c r="E11" s="1269"/>
      <c r="F11" s="1269"/>
      <c r="G11" s="1269"/>
      <c r="H11" s="1269"/>
      <c r="I11" s="1269"/>
      <c r="J11" s="975"/>
      <c r="K11" s="975"/>
      <c r="L11" s="975"/>
      <c r="M11" s="975"/>
      <c r="N11" s="975"/>
      <c r="O11" s="975"/>
      <c r="P11" s="975"/>
      <c r="Q11" s="975"/>
      <c r="R11" s="975"/>
      <c r="S11" s="975"/>
      <c r="T11" s="975"/>
      <c r="U11" s="976"/>
      <c r="V11" s="976"/>
      <c r="W11" s="976"/>
      <c r="X11" s="976"/>
      <c r="Y11" s="976"/>
      <c r="Z11" s="976"/>
    </row>
    <row r="12" spans="1:26" ht="15.75" x14ac:dyDescent="0.25">
      <c r="A12" s="1275" t="s">
        <v>92</v>
      </c>
      <c r="B12" s="1275"/>
      <c r="C12" s="1275"/>
      <c r="D12" s="1275"/>
      <c r="E12" s="1275"/>
      <c r="F12" s="1275"/>
      <c r="G12" s="1275"/>
      <c r="H12" s="1275"/>
      <c r="I12" s="1275"/>
      <c r="J12" s="975"/>
      <c r="K12" s="975"/>
      <c r="L12" s="975"/>
      <c r="M12" s="975"/>
      <c r="N12" s="975"/>
      <c r="O12" s="975"/>
      <c r="P12" s="975"/>
      <c r="Q12" s="975"/>
      <c r="R12" s="975"/>
      <c r="S12" s="975"/>
      <c r="T12" s="975"/>
      <c r="U12" s="976"/>
      <c r="V12" s="976"/>
      <c r="W12" s="976"/>
      <c r="X12" s="976"/>
      <c r="Y12" s="976"/>
      <c r="Z12" s="976"/>
    </row>
    <row r="13" spans="1:26" ht="15" x14ac:dyDescent="0.25">
      <c r="A13" s="485" t="s">
        <v>93</v>
      </c>
      <c r="B13" s="975"/>
      <c r="C13" s="975"/>
      <c r="D13" s="975"/>
      <c r="E13" s="975"/>
      <c r="F13" s="975"/>
      <c r="G13" s="975"/>
      <c r="H13" s="975"/>
      <c r="I13" s="975"/>
      <c r="J13" s="975"/>
      <c r="K13" s="975"/>
      <c r="L13" s="975"/>
      <c r="M13" s="975"/>
      <c r="N13" s="975"/>
      <c r="O13" s="975"/>
      <c r="P13" s="975"/>
      <c r="Q13" s="975"/>
      <c r="R13" s="975"/>
      <c r="S13" s="975"/>
      <c r="T13" s="975"/>
      <c r="U13" s="976"/>
      <c r="V13" s="976"/>
      <c r="W13" s="976"/>
      <c r="X13" s="976"/>
      <c r="Y13" s="976"/>
      <c r="Z13" s="976"/>
    </row>
    <row r="14" spans="1:26" ht="15" x14ac:dyDescent="0.25">
      <c r="A14" s="485" t="s">
        <v>94</v>
      </c>
      <c r="B14" s="975"/>
      <c r="C14" s="975"/>
      <c r="D14" s="975"/>
      <c r="E14" s="975"/>
      <c r="F14" s="975"/>
      <c r="G14" s="975"/>
      <c r="H14" s="975"/>
      <c r="I14" s="975"/>
      <c r="J14" s="975"/>
      <c r="K14" s="975"/>
      <c r="L14" s="975"/>
      <c r="M14" s="975"/>
      <c r="N14" s="975"/>
      <c r="O14" s="975"/>
      <c r="P14" s="975"/>
      <c r="Q14" s="975"/>
      <c r="R14" s="975"/>
      <c r="S14" s="975"/>
      <c r="T14" s="975"/>
      <c r="U14" s="976"/>
      <c r="V14" s="976"/>
      <c r="W14" s="976"/>
      <c r="X14" s="976"/>
      <c r="Y14" s="976"/>
      <c r="Z14" s="976"/>
    </row>
    <row r="15" spans="1:26" ht="15" x14ac:dyDescent="0.25">
      <c r="A15" s="485" t="s">
        <v>95</v>
      </c>
      <c r="B15" s="975"/>
      <c r="C15" s="97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/>
      <c r="U15" s="976"/>
      <c r="V15" s="976"/>
      <c r="W15" s="976"/>
      <c r="X15" s="976"/>
      <c r="Y15" s="976"/>
      <c r="Z15" s="976"/>
    </row>
    <row r="16" spans="1:26" ht="15" x14ac:dyDescent="0.25">
      <c r="A16" s="1270"/>
      <c r="B16" s="1270"/>
      <c r="C16" s="1270"/>
      <c r="D16" s="1270"/>
      <c r="E16" s="1270"/>
      <c r="F16" s="1270"/>
      <c r="G16" s="1270"/>
      <c r="H16" s="1270"/>
      <c r="I16" s="1270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6"/>
      <c r="V16" s="976"/>
      <c r="W16" s="976"/>
      <c r="X16" s="976"/>
      <c r="Y16" s="976"/>
      <c r="Z16" s="976"/>
    </row>
    <row r="17" spans="1:26" ht="15" x14ac:dyDescent="0.25">
      <c r="A17" s="1270"/>
      <c r="B17" s="1270"/>
      <c r="C17" s="1270"/>
      <c r="D17" s="1270"/>
      <c r="E17" s="1270"/>
      <c r="F17" s="1270"/>
      <c r="G17" s="1270"/>
      <c r="H17" s="1270"/>
      <c r="I17" s="1270"/>
      <c r="J17" s="975"/>
      <c r="K17" s="975"/>
      <c r="L17" s="975"/>
      <c r="M17" s="975"/>
      <c r="N17" s="975"/>
      <c r="O17" s="975"/>
      <c r="P17" s="975"/>
      <c r="Q17" s="975"/>
      <c r="R17" s="975"/>
      <c r="S17" s="975"/>
      <c r="T17" s="975"/>
      <c r="U17" s="976"/>
      <c r="V17" s="976"/>
      <c r="W17" s="976"/>
      <c r="X17" s="976"/>
      <c r="Y17" s="976"/>
      <c r="Z17" s="976"/>
    </row>
    <row r="18" spans="1:26" ht="15" x14ac:dyDescent="0.25">
      <c r="A18" s="1270"/>
      <c r="B18" s="1270"/>
      <c r="C18" s="1270"/>
      <c r="D18" s="1270"/>
      <c r="E18" s="1270"/>
      <c r="F18" s="1270"/>
      <c r="G18" s="1270"/>
      <c r="H18" s="1270"/>
      <c r="I18" s="1270"/>
      <c r="J18" s="975"/>
      <c r="K18" s="975"/>
      <c r="L18" s="975"/>
      <c r="M18" s="975"/>
      <c r="N18" s="975"/>
      <c r="O18" s="975"/>
      <c r="P18" s="975"/>
      <c r="Q18" s="975"/>
      <c r="R18" s="975"/>
      <c r="S18" s="975"/>
      <c r="T18" s="975"/>
      <c r="U18" s="976"/>
      <c r="V18" s="976"/>
      <c r="W18" s="976"/>
      <c r="X18" s="976"/>
      <c r="Y18" s="976"/>
      <c r="Z18" s="976"/>
    </row>
    <row r="19" spans="1:26" ht="15.75" x14ac:dyDescent="0.25">
      <c r="A19" s="494"/>
      <c r="B19" s="976"/>
      <c r="C19" s="976"/>
      <c r="D19" s="976"/>
      <c r="E19" s="976"/>
      <c r="F19" s="976"/>
      <c r="G19" s="976"/>
      <c r="H19" s="976"/>
      <c r="I19" s="976"/>
      <c r="J19" s="975"/>
      <c r="K19" s="975"/>
      <c r="L19" s="975"/>
      <c r="M19" s="975"/>
      <c r="N19" s="975"/>
      <c r="O19" s="975"/>
      <c r="P19" s="975"/>
      <c r="Q19" s="975"/>
      <c r="R19" s="975"/>
      <c r="S19" s="975"/>
      <c r="T19" s="975"/>
      <c r="U19" s="976"/>
      <c r="V19" s="976"/>
      <c r="W19" s="976"/>
      <c r="X19" s="976"/>
      <c r="Y19" s="976"/>
      <c r="Z19" s="976"/>
    </row>
    <row r="20" spans="1:26" ht="15" x14ac:dyDescent="0.25">
      <c r="A20" s="976"/>
      <c r="B20" s="976"/>
      <c r="C20" s="976"/>
      <c r="D20" s="976"/>
      <c r="E20" s="976"/>
      <c r="F20" s="976"/>
      <c r="G20" s="976"/>
      <c r="H20" s="976"/>
      <c r="I20" s="976"/>
      <c r="J20" s="975"/>
      <c r="K20" s="975"/>
      <c r="L20" s="975"/>
      <c r="M20" s="975"/>
      <c r="N20" s="975"/>
      <c r="O20" s="975"/>
      <c r="P20" s="975"/>
      <c r="Q20" s="975"/>
      <c r="R20" s="975"/>
      <c r="S20" s="975"/>
      <c r="T20" s="975"/>
      <c r="U20" s="976"/>
      <c r="V20" s="976"/>
      <c r="W20" s="976"/>
      <c r="X20" s="976"/>
      <c r="Y20" s="976"/>
      <c r="Z20" s="976"/>
    </row>
    <row r="21" spans="1:26" ht="15" x14ac:dyDescent="0.25">
      <c r="J21" s="975"/>
      <c r="K21" s="975"/>
      <c r="L21" s="975"/>
      <c r="M21" s="975"/>
      <c r="N21" s="975"/>
      <c r="O21" s="975"/>
      <c r="P21" s="975"/>
      <c r="Q21" s="975"/>
      <c r="R21" s="975"/>
      <c r="S21" s="975"/>
      <c r="T21" s="975"/>
      <c r="U21" s="976"/>
      <c r="V21" s="976"/>
      <c r="W21" s="976"/>
      <c r="X21" s="976"/>
      <c r="Y21" s="976"/>
      <c r="Z21" s="976"/>
    </row>
    <row r="22" spans="1:26" ht="15" x14ac:dyDescent="0.25">
      <c r="J22" s="975"/>
      <c r="K22" s="975"/>
      <c r="L22" s="975"/>
      <c r="M22" s="975"/>
      <c r="N22" s="975"/>
      <c r="O22" s="975"/>
      <c r="P22" s="975"/>
      <c r="Q22" s="975"/>
      <c r="R22" s="975"/>
      <c r="S22" s="975"/>
      <c r="T22" s="975"/>
      <c r="U22" s="976"/>
      <c r="V22" s="976"/>
      <c r="W22" s="976"/>
      <c r="X22" s="976"/>
      <c r="Y22" s="976"/>
      <c r="Z22" s="976"/>
    </row>
    <row r="23" spans="1:26" ht="15" x14ac:dyDescent="0.25">
      <c r="A23" s="1270"/>
      <c r="B23" s="1270"/>
      <c r="C23" s="1270"/>
      <c r="D23" s="1270"/>
      <c r="E23" s="1270"/>
      <c r="F23" s="1270"/>
      <c r="G23" s="1270"/>
      <c r="H23" s="1270"/>
      <c r="I23" s="1270"/>
      <c r="J23" s="975"/>
      <c r="K23" s="975"/>
      <c r="L23" s="975"/>
      <c r="M23" s="975"/>
      <c r="N23" s="975"/>
      <c r="O23" s="975"/>
      <c r="P23" s="975"/>
      <c r="Q23" s="975"/>
      <c r="R23" s="975"/>
      <c r="S23" s="975"/>
      <c r="T23" s="975"/>
      <c r="U23" s="976"/>
      <c r="V23" s="976"/>
      <c r="W23" s="976"/>
      <c r="X23" s="976"/>
      <c r="Y23" s="976"/>
      <c r="Z23" s="976"/>
    </row>
    <row r="24" spans="1:26" ht="15" x14ac:dyDescent="0.25">
      <c r="A24" s="976"/>
      <c r="B24" s="976"/>
      <c r="C24" s="976"/>
      <c r="D24" s="976"/>
      <c r="E24" s="976"/>
      <c r="F24" s="976"/>
      <c r="G24" s="976"/>
      <c r="H24" s="976"/>
      <c r="I24" s="976"/>
      <c r="J24" s="975"/>
      <c r="K24" s="975"/>
      <c r="L24" s="975"/>
      <c r="M24" s="975"/>
      <c r="N24" s="975"/>
      <c r="O24" s="975"/>
      <c r="P24" s="975"/>
      <c r="Q24" s="975"/>
      <c r="R24" s="975"/>
      <c r="S24" s="975"/>
      <c r="T24" s="975"/>
      <c r="U24" s="976"/>
      <c r="V24" s="976"/>
      <c r="W24" s="976"/>
      <c r="X24" s="976"/>
      <c r="Y24" s="976"/>
      <c r="Z24" s="976"/>
    </row>
    <row r="25" spans="1:26" ht="15" x14ac:dyDescent="0.25">
      <c r="A25" s="1270"/>
      <c r="B25" s="1270"/>
      <c r="C25" s="1270"/>
      <c r="D25" s="1270"/>
      <c r="E25" s="1270"/>
      <c r="F25" s="1270"/>
      <c r="G25" s="1270"/>
      <c r="H25" s="1270"/>
      <c r="I25" s="1270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6"/>
      <c r="V25" s="976"/>
      <c r="W25" s="976"/>
      <c r="X25" s="976"/>
      <c r="Y25" s="976"/>
      <c r="Z25" s="976"/>
    </row>
    <row r="26" spans="1:26" ht="15" x14ac:dyDescent="0.25">
      <c r="A26" s="975"/>
      <c r="B26" s="975"/>
      <c r="C26" s="975"/>
      <c r="D26" s="975"/>
      <c r="E26" s="975"/>
      <c r="F26" s="975"/>
      <c r="G26" s="975"/>
      <c r="H26" s="975"/>
      <c r="I26" s="975"/>
      <c r="J26" s="975"/>
      <c r="K26" s="975"/>
      <c r="L26" s="975"/>
      <c r="M26" s="975"/>
      <c r="N26" s="975"/>
      <c r="O26" s="975"/>
      <c r="P26" s="975"/>
      <c r="Q26" s="975"/>
      <c r="R26" s="975"/>
      <c r="S26" s="975"/>
      <c r="T26" s="975"/>
      <c r="U26" s="976"/>
      <c r="V26" s="976"/>
      <c r="W26" s="976"/>
      <c r="X26" s="976"/>
      <c r="Y26" s="976"/>
      <c r="Z26" s="976"/>
    </row>
    <row r="27" spans="1:26" ht="15" x14ac:dyDescent="0.25">
      <c r="A27" s="975"/>
      <c r="B27" s="975"/>
      <c r="C27" s="975"/>
      <c r="D27" s="975"/>
      <c r="E27" s="975"/>
      <c r="F27" s="975"/>
      <c r="G27" s="975"/>
      <c r="H27" s="975"/>
      <c r="I27" s="975"/>
      <c r="J27" s="975"/>
      <c r="K27" s="975"/>
      <c r="L27" s="975"/>
      <c r="M27" s="975"/>
      <c r="N27" s="975"/>
      <c r="O27" s="975"/>
      <c r="P27" s="975"/>
      <c r="Q27" s="975"/>
      <c r="R27" s="975"/>
      <c r="S27" s="975"/>
      <c r="T27" s="975"/>
      <c r="U27" s="976"/>
      <c r="V27" s="976"/>
      <c r="W27" s="976"/>
      <c r="X27" s="976"/>
      <c r="Y27" s="976"/>
      <c r="Z27" s="976"/>
    </row>
    <row r="28" spans="1:26" ht="15" x14ac:dyDescent="0.25">
      <c r="A28" s="975"/>
      <c r="B28" s="975"/>
      <c r="C28" s="975"/>
      <c r="D28" s="975"/>
      <c r="E28" s="975"/>
      <c r="F28" s="975"/>
      <c r="G28" s="975"/>
      <c r="H28" s="975"/>
      <c r="I28" s="975"/>
      <c r="J28" s="975"/>
      <c r="K28" s="975"/>
      <c r="L28" s="975"/>
      <c r="M28" s="975"/>
      <c r="N28" s="975"/>
      <c r="O28" s="975"/>
      <c r="P28" s="975"/>
      <c r="Q28" s="975"/>
      <c r="R28" s="975"/>
      <c r="S28" s="975"/>
      <c r="T28" s="975"/>
      <c r="U28" s="976"/>
      <c r="V28" s="976"/>
      <c r="W28" s="976"/>
      <c r="X28" s="976"/>
      <c r="Y28" s="976"/>
      <c r="Z28" s="976"/>
    </row>
    <row r="29" spans="1:26" ht="15.75" x14ac:dyDescent="0.25">
      <c r="A29" s="487"/>
      <c r="B29" s="975"/>
      <c r="C29" s="975"/>
      <c r="D29" s="975"/>
      <c r="E29" s="975"/>
      <c r="F29" s="975"/>
      <c r="G29" s="975"/>
      <c r="H29" s="975"/>
      <c r="I29" s="975"/>
      <c r="J29" s="975"/>
      <c r="K29" s="975"/>
      <c r="L29" s="975"/>
      <c r="M29" s="975"/>
      <c r="N29" s="975"/>
      <c r="O29" s="975"/>
      <c r="P29" s="975"/>
      <c r="Q29" s="975"/>
      <c r="R29" s="975"/>
      <c r="S29" s="975"/>
      <c r="T29" s="975"/>
      <c r="U29" s="976"/>
      <c r="V29" s="976"/>
      <c r="W29" s="976"/>
      <c r="X29" s="976"/>
      <c r="Y29" s="976"/>
      <c r="Z29" s="976"/>
    </row>
    <row r="30" spans="1:26" ht="15.75" x14ac:dyDescent="0.25">
      <c r="A30" s="487"/>
      <c r="B30" s="975"/>
      <c r="C30" s="975"/>
      <c r="D30" s="975"/>
      <c r="E30" s="975"/>
      <c r="F30" s="975"/>
      <c r="G30" s="975"/>
      <c r="H30" s="975"/>
      <c r="I30" s="975"/>
      <c r="J30" s="975"/>
      <c r="K30" s="975"/>
      <c r="L30" s="975"/>
      <c r="M30" s="975"/>
      <c r="N30" s="975"/>
      <c r="O30" s="975"/>
      <c r="P30" s="975"/>
      <c r="Q30" s="975"/>
      <c r="R30" s="975"/>
      <c r="S30" s="975"/>
      <c r="T30" s="975"/>
      <c r="U30" s="976"/>
      <c r="V30" s="976"/>
      <c r="W30" s="976"/>
      <c r="X30" s="976"/>
      <c r="Y30" s="976"/>
      <c r="Z30" s="976"/>
    </row>
    <row r="31" spans="1:26" ht="15.75" x14ac:dyDescent="0.25">
      <c r="A31" s="487" t="s">
        <v>96</v>
      </c>
      <c r="B31" s="975"/>
      <c r="C31" s="975"/>
      <c r="D31" s="975"/>
      <c r="E31" s="975"/>
      <c r="F31" s="975"/>
      <c r="G31" s="975"/>
      <c r="H31" s="975"/>
      <c r="I31" s="975"/>
      <c r="J31" s="975"/>
      <c r="K31" s="975"/>
      <c r="L31" s="975"/>
      <c r="M31" s="975"/>
      <c r="N31" s="975"/>
      <c r="O31" s="975"/>
      <c r="P31" s="975"/>
      <c r="Q31" s="975"/>
      <c r="R31" s="975"/>
      <c r="S31" s="975"/>
      <c r="T31" s="975"/>
      <c r="U31" s="976"/>
      <c r="V31" s="976"/>
      <c r="W31" s="976"/>
      <c r="X31" s="976"/>
      <c r="Y31" s="976"/>
      <c r="Z31" s="976"/>
    </row>
    <row r="32" spans="1:26" ht="15" x14ac:dyDescent="0.25">
      <c r="A32" s="485" t="s">
        <v>97</v>
      </c>
      <c r="B32" s="975"/>
      <c r="C32" s="975"/>
      <c r="D32" s="975"/>
      <c r="E32" s="975"/>
      <c r="F32" s="975"/>
      <c r="G32" s="975"/>
      <c r="H32" s="975"/>
      <c r="I32" s="975"/>
      <c r="J32" s="975"/>
      <c r="K32" s="975"/>
      <c r="L32" s="975"/>
      <c r="M32" s="975"/>
      <c r="N32" s="975"/>
      <c r="O32" s="975"/>
      <c r="P32" s="975"/>
      <c r="Q32" s="975"/>
      <c r="R32" s="975"/>
      <c r="S32" s="975"/>
      <c r="T32" s="975"/>
      <c r="U32" s="976"/>
      <c r="V32" s="976"/>
      <c r="W32" s="976"/>
      <c r="X32" s="976"/>
      <c r="Y32" s="976"/>
      <c r="Z32" s="976"/>
    </row>
    <row r="33" spans="1:26" ht="15" x14ac:dyDescent="0.25">
      <c r="A33" s="488" t="s">
        <v>98</v>
      </c>
      <c r="B33" s="975"/>
      <c r="C33" s="975"/>
      <c r="D33" s="975"/>
      <c r="E33" s="975"/>
      <c r="F33" s="975"/>
      <c r="G33" s="975"/>
      <c r="H33" s="975"/>
      <c r="I33" s="975"/>
      <c r="J33" s="975"/>
      <c r="K33" s="975"/>
      <c r="L33" s="975"/>
      <c r="M33" s="975"/>
      <c r="N33" s="975"/>
      <c r="O33" s="975"/>
      <c r="P33" s="975"/>
      <c r="Q33" s="975"/>
      <c r="R33" s="975"/>
      <c r="S33" s="975"/>
      <c r="T33" s="975"/>
      <c r="U33" s="976"/>
      <c r="V33" s="976"/>
      <c r="W33" s="976"/>
      <c r="X33" s="976"/>
      <c r="Y33" s="976"/>
      <c r="Z33" s="976"/>
    </row>
    <row r="34" spans="1:26" ht="15" x14ac:dyDescent="0.25">
      <c r="A34" s="1270"/>
      <c r="B34" s="1270"/>
      <c r="C34" s="1270"/>
      <c r="D34" s="1270"/>
      <c r="E34" s="1270"/>
      <c r="F34" s="1270"/>
      <c r="G34" s="1270"/>
      <c r="H34" s="1270"/>
      <c r="I34" s="1270"/>
      <c r="J34" s="975"/>
      <c r="K34" s="975"/>
      <c r="L34" s="975"/>
      <c r="M34" s="975"/>
      <c r="N34" s="975"/>
      <c r="O34" s="975"/>
      <c r="P34" s="975"/>
      <c r="Q34" s="975"/>
      <c r="R34" s="975"/>
      <c r="S34" s="975"/>
      <c r="T34" s="975"/>
      <c r="U34" s="976"/>
      <c r="V34" s="976"/>
      <c r="W34" s="976"/>
      <c r="X34" s="976"/>
      <c r="Y34" s="976"/>
      <c r="Z34" s="976"/>
    </row>
    <row r="35" spans="1:26" ht="15" x14ac:dyDescent="0.25">
      <c r="A35" s="1270"/>
      <c r="B35" s="1270"/>
      <c r="C35" s="1270"/>
      <c r="D35" s="1270"/>
      <c r="E35" s="1270"/>
      <c r="F35" s="1270"/>
      <c r="G35" s="1270"/>
      <c r="H35" s="1270"/>
      <c r="I35" s="1270"/>
      <c r="J35" s="975"/>
      <c r="K35" s="975"/>
      <c r="L35" s="975"/>
      <c r="M35" s="975"/>
      <c r="N35" s="975"/>
      <c r="O35" s="975"/>
      <c r="P35" s="975"/>
      <c r="Q35" s="975"/>
      <c r="R35" s="975"/>
      <c r="S35" s="975"/>
      <c r="T35" s="975"/>
      <c r="U35" s="976"/>
      <c r="V35" s="976"/>
      <c r="W35" s="976"/>
      <c r="X35" s="976"/>
      <c r="Y35" s="976"/>
      <c r="Z35" s="976"/>
    </row>
    <row r="36" spans="1:26" ht="15" x14ac:dyDescent="0.25">
      <c r="A36" s="1270"/>
      <c r="B36" s="1270"/>
      <c r="C36" s="1270"/>
      <c r="D36" s="1270"/>
      <c r="E36" s="1270"/>
      <c r="F36" s="1270"/>
      <c r="G36" s="1270"/>
      <c r="H36" s="1270"/>
      <c r="I36" s="1270"/>
      <c r="J36" s="975"/>
      <c r="K36" s="975"/>
      <c r="L36" s="975"/>
      <c r="M36" s="975"/>
      <c r="N36" s="975"/>
      <c r="O36" s="975"/>
      <c r="P36" s="975"/>
      <c r="Q36" s="975"/>
      <c r="R36" s="975"/>
      <c r="S36" s="975"/>
      <c r="T36" s="975"/>
      <c r="U36" s="976"/>
      <c r="V36" s="976"/>
      <c r="W36" s="976"/>
      <c r="X36" s="976"/>
      <c r="Y36" s="976"/>
      <c r="Z36" s="976"/>
    </row>
    <row r="37" spans="1:26" ht="15" x14ac:dyDescent="0.25">
      <c r="A37" s="486"/>
      <c r="B37" s="975"/>
      <c r="C37" s="975"/>
      <c r="D37" s="975"/>
      <c r="E37" s="975"/>
      <c r="F37" s="975"/>
      <c r="G37" s="975"/>
      <c r="H37" s="975"/>
      <c r="I37" s="975"/>
      <c r="J37" s="975"/>
      <c r="K37" s="975"/>
      <c r="L37" s="975"/>
      <c r="M37" s="975"/>
      <c r="N37" s="975"/>
      <c r="O37" s="975"/>
      <c r="P37" s="975"/>
      <c r="Q37" s="975"/>
      <c r="R37" s="975"/>
      <c r="S37" s="975"/>
      <c r="T37" s="975"/>
      <c r="U37" s="976"/>
      <c r="V37" s="976"/>
      <c r="W37" s="976"/>
      <c r="X37" s="976"/>
      <c r="Y37" s="976"/>
      <c r="Z37" s="976"/>
    </row>
    <row r="38" spans="1:26" ht="15" x14ac:dyDescent="0.25">
      <c r="A38" s="975"/>
      <c r="B38" s="975"/>
      <c r="C38" s="975"/>
      <c r="D38" s="975"/>
      <c r="E38" s="975"/>
      <c r="F38" s="975"/>
      <c r="G38" s="975"/>
      <c r="H38" s="975"/>
      <c r="I38" s="975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6"/>
      <c r="V38" s="976"/>
      <c r="W38" s="976"/>
      <c r="X38" s="976"/>
      <c r="Y38" s="976"/>
      <c r="Z38" s="976"/>
    </row>
    <row r="39" spans="1:26" ht="15" x14ac:dyDescent="0.25">
      <c r="A39" s="486"/>
      <c r="B39" s="975"/>
      <c r="C39" s="975"/>
      <c r="D39" s="975"/>
      <c r="E39" s="975"/>
      <c r="F39" s="975"/>
      <c r="G39" s="975"/>
      <c r="H39" s="975"/>
      <c r="I39" s="975"/>
      <c r="J39" s="975"/>
      <c r="K39" s="975"/>
      <c r="L39" s="975"/>
      <c r="M39" s="975"/>
      <c r="N39" s="975"/>
      <c r="O39" s="975"/>
      <c r="P39" s="975"/>
      <c r="Q39" s="975"/>
      <c r="R39" s="975"/>
      <c r="S39" s="975"/>
      <c r="T39" s="975"/>
      <c r="U39" s="976"/>
      <c r="V39" s="976"/>
      <c r="W39" s="976"/>
      <c r="X39" s="976"/>
      <c r="Y39" s="976"/>
      <c r="Z39" s="976"/>
    </row>
    <row r="40" spans="1:26" ht="15" x14ac:dyDescent="0.25">
      <c r="A40" s="488"/>
      <c r="B40" s="975"/>
      <c r="C40" s="975"/>
      <c r="D40" s="975"/>
      <c r="E40" s="975"/>
      <c r="F40" s="975"/>
      <c r="G40" s="975"/>
      <c r="H40" s="975"/>
      <c r="I40" s="975"/>
      <c r="J40" s="975"/>
      <c r="K40" s="975"/>
      <c r="L40" s="975"/>
      <c r="M40" s="975"/>
      <c r="N40" s="975"/>
      <c r="O40" s="975"/>
      <c r="P40" s="975"/>
      <c r="Q40" s="975"/>
      <c r="R40" s="975"/>
      <c r="S40" s="975"/>
      <c r="T40" s="975"/>
      <c r="U40" s="976"/>
      <c r="V40" s="976"/>
      <c r="W40" s="976"/>
      <c r="X40" s="976"/>
      <c r="Y40" s="976"/>
      <c r="Z40" s="976"/>
    </row>
    <row r="41" spans="1:26" ht="15" x14ac:dyDescent="0.25">
      <c r="A41" s="488"/>
      <c r="B41" s="975"/>
      <c r="C41" s="975"/>
      <c r="D41" s="975"/>
      <c r="E41" s="975"/>
      <c r="F41" s="975"/>
      <c r="G41" s="975"/>
      <c r="H41" s="975"/>
      <c r="I41" s="975"/>
      <c r="J41" s="975"/>
      <c r="K41" s="975"/>
      <c r="L41" s="975"/>
      <c r="M41" s="975"/>
      <c r="N41" s="975"/>
      <c r="O41" s="975"/>
      <c r="P41" s="975"/>
      <c r="Q41" s="975"/>
      <c r="R41" s="975"/>
      <c r="S41" s="975"/>
      <c r="T41" s="975"/>
      <c r="U41" s="976"/>
      <c r="V41" s="976"/>
      <c r="W41" s="976"/>
      <c r="X41" s="976"/>
      <c r="Y41" s="976"/>
      <c r="Z41" s="976"/>
    </row>
    <row r="42" spans="1:26" ht="15" x14ac:dyDescent="0.25">
      <c r="A42" s="488" t="s">
        <v>99</v>
      </c>
      <c r="B42" s="975"/>
      <c r="C42" s="975"/>
      <c r="D42" s="975"/>
      <c r="E42" s="975"/>
      <c r="F42" s="975"/>
      <c r="G42" s="975"/>
      <c r="H42" s="975"/>
      <c r="I42" s="975"/>
      <c r="J42" s="975"/>
      <c r="K42" s="975"/>
      <c r="L42" s="975"/>
      <c r="M42" s="975"/>
      <c r="N42" s="975"/>
      <c r="O42" s="975"/>
      <c r="P42" s="975"/>
      <c r="Q42" s="975"/>
      <c r="R42" s="975"/>
      <c r="S42" s="975"/>
      <c r="T42" s="975"/>
      <c r="U42" s="976"/>
      <c r="V42" s="976"/>
      <c r="W42" s="976"/>
      <c r="X42" s="976"/>
      <c r="Y42" s="976"/>
      <c r="Z42" s="976"/>
    </row>
    <row r="43" spans="1:26" ht="15" x14ac:dyDescent="0.25">
      <c r="A43" s="975"/>
      <c r="B43" s="975"/>
      <c r="C43" s="975"/>
      <c r="D43" s="975"/>
      <c r="E43" s="975"/>
      <c r="F43" s="975"/>
      <c r="G43" s="975"/>
      <c r="H43" s="975"/>
      <c r="I43" s="975"/>
      <c r="J43" s="975"/>
      <c r="K43" s="975"/>
      <c r="L43" s="975"/>
      <c r="M43" s="975"/>
      <c r="N43" s="975"/>
      <c r="O43" s="975"/>
      <c r="P43" s="975"/>
      <c r="Q43" s="975"/>
      <c r="R43" s="975"/>
      <c r="S43" s="975"/>
      <c r="T43" s="975"/>
      <c r="U43" s="976"/>
      <c r="V43" s="976"/>
      <c r="W43" s="976"/>
      <c r="X43" s="976"/>
      <c r="Y43" s="976"/>
      <c r="Z43" s="976"/>
    </row>
    <row r="44" spans="1:26" ht="15" x14ac:dyDescent="0.25">
      <c r="A44" s="486"/>
      <c r="B44" s="975"/>
      <c r="C44" s="975"/>
      <c r="D44" s="975"/>
      <c r="E44" s="975"/>
      <c r="F44" s="975"/>
      <c r="G44" s="975"/>
      <c r="H44" s="975"/>
      <c r="I44" s="975"/>
      <c r="J44" s="975"/>
      <c r="K44" s="975"/>
      <c r="L44" s="975"/>
      <c r="M44" s="975"/>
      <c r="N44" s="975"/>
      <c r="O44" s="975"/>
      <c r="P44" s="975"/>
      <c r="Q44" s="975"/>
      <c r="R44" s="975"/>
      <c r="S44" s="975"/>
      <c r="T44" s="975"/>
      <c r="U44" s="976"/>
      <c r="V44" s="976"/>
      <c r="W44" s="976"/>
      <c r="X44" s="976"/>
      <c r="Y44" s="976"/>
      <c r="Z44" s="976"/>
    </row>
    <row r="45" spans="1:26" ht="15" x14ac:dyDescent="0.25">
      <c r="A45" s="488"/>
      <c r="B45" s="975"/>
      <c r="C45" s="975"/>
      <c r="D45" s="975"/>
      <c r="E45" s="975"/>
      <c r="F45" s="975"/>
      <c r="G45" s="975"/>
      <c r="H45" s="975"/>
      <c r="I45" s="975"/>
      <c r="J45" s="975"/>
      <c r="K45" s="975"/>
      <c r="L45" s="975"/>
      <c r="M45" s="975"/>
      <c r="N45" s="975"/>
      <c r="O45" s="975"/>
      <c r="P45" s="975"/>
      <c r="Q45" s="975"/>
      <c r="R45" s="975"/>
      <c r="S45" s="975"/>
      <c r="T45" s="975"/>
      <c r="U45" s="976"/>
      <c r="V45" s="976"/>
      <c r="W45" s="976"/>
      <c r="X45" s="976"/>
      <c r="Y45" s="976"/>
      <c r="Z45" s="976"/>
    </row>
    <row r="46" spans="1:26" ht="15" x14ac:dyDescent="0.25">
      <c r="A46" s="488" t="s">
        <v>100</v>
      </c>
      <c r="B46" s="975"/>
      <c r="C46" s="975"/>
      <c r="D46" s="975"/>
      <c r="E46" s="975"/>
      <c r="F46" s="975"/>
      <c r="G46" s="975"/>
      <c r="H46" s="975"/>
      <c r="I46" s="975"/>
      <c r="J46" s="975"/>
      <c r="K46" s="975"/>
      <c r="L46" s="975"/>
      <c r="M46" s="975"/>
      <c r="N46" s="975"/>
      <c r="O46" s="975"/>
      <c r="P46" s="975"/>
      <c r="Q46" s="975"/>
      <c r="R46" s="975"/>
      <c r="S46" s="975"/>
      <c r="T46" s="975"/>
      <c r="U46" s="976"/>
      <c r="V46" s="976"/>
      <c r="W46" s="976"/>
      <c r="X46" s="976"/>
      <c r="Y46" s="976"/>
      <c r="Z46" s="976"/>
    </row>
    <row r="47" spans="1:26" ht="15" x14ac:dyDescent="0.25">
      <c r="A47" s="1270"/>
      <c r="B47" s="1270"/>
      <c r="C47" s="1270"/>
      <c r="D47" s="1270"/>
      <c r="E47" s="1270"/>
      <c r="F47" s="1270"/>
      <c r="G47" s="1270"/>
      <c r="H47" s="1270"/>
      <c r="I47" s="1270"/>
      <c r="J47" s="975"/>
      <c r="K47" s="975"/>
      <c r="L47" s="975"/>
      <c r="M47" s="975"/>
      <c r="N47" s="975"/>
      <c r="O47" s="975"/>
      <c r="P47" s="975"/>
      <c r="Q47" s="975"/>
      <c r="R47" s="975"/>
      <c r="S47" s="975"/>
      <c r="T47" s="975"/>
      <c r="U47" s="976"/>
      <c r="V47" s="976"/>
      <c r="W47" s="976"/>
      <c r="X47" s="976"/>
      <c r="Y47" s="976"/>
      <c r="Z47" s="976"/>
    </row>
    <row r="48" spans="1:26" ht="15" x14ac:dyDescent="0.25">
      <c r="A48" s="1270"/>
      <c r="B48" s="1270"/>
      <c r="C48" s="1270"/>
      <c r="D48" s="1270"/>
      <c r="E48" s="1270"/>
      <c r="F48" s="1270"/>
      <c r="G48" s="1270"/>
      <c r="H48" s="1270"/>
      <c r="I48" s="1270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6"/>
      <c r="V48" s="976"/>
      <c r="W48" s="976"/>
      <c r="X48" s="976"/>
      <c r="Y48" s="976"/>
      <c r="Z48" s="976"/>
    </row>
    <row r="49" spans="1:26" ht="15" x14ac:dyDescent="0.25">
      <c r="A49" s="488" t="s">
        <v>101</v>
      </c>
      <c r="B49" s="975"/>
      <c r="C49" s="975"/>
      <c r="D49" s="975"/>
      <c r="E49" s="975"/>
      <c r="F49" s="975"/>
      <c r="G49" s="975"/>
      <c r="H49" s="975"/>
      <c r="I49" s="975"/>
      <c r="J49" s="975"/>
      <c r="K49" s="975"/>
      <c r="L49" s="975"/>
      <c r="M49" s="975"/>
      <c r="N49" s="975"/>
      <c r="O49" s="975"/>
      <c r="P49" s="975"/>
      <c r="Q49" s="975"/>
      <c r="R49" s="975"/>
      <c r="S49" s="975"/>
      <c r="T49" s="975"/>
      <c r="U49" s="976"/>
      <c r="V49" s="976"/>
      <c r="W49" s="976"/>
      <c r="X49" s="976"/>
      <c r="Y49" s="976"/>
      <c r="Z49" s="976"/>
    </row>
    <row r="50" spans="1:26" ht="15" x14ac:dyDescent="0.25">
      <c r="A50" s="1270"/>
      <c r="B50" s="1270"/>
      <c r="C50" s="1270"/>
      <c r="D50" s="1270"/>
      <c r="E50" s="1270"/>
      <c r="F50" s="1270"/>
      <c r="G50" s="1270"/>
      <c r="H50" s="1270"/>
      <c r="I50" s="1270"/>
      <c r="J50" s="975"/>
      <c r="K50" s="975"/>
      <c r="L50" s="975"/>
      <c r="M50" s="975"/>
      <c r="N50" s="975"/>
      <c r="O50" s="975"/>
      <c r="P50" s="975"/>
      <c r="Q50" s="975"/>
      <c r="R50" s="975"/>
      <c r="S50" s="975"/>
      <c r="T50" s="975"/>
      <c r="U50" s="976"/>
      <c r="V50" s="976"/>
      <c r="W50" s="976"/>
      <c r="X50" s="976"/>
      <c r="Y50" s="976"/>
      <c r="Z50" s="976"/>
    </row>
    <row r="51" spans="1:26" ht="15" x14ac:dyDescent="0.25">
      <c r="A51" s="976"/>
      <c r="B51" s="976"/>
      <c r="C51" s="976"/>
      <c r="D51" s="976"/>
      <c r="E51" s="976"/>
      <c r="F51" s="976"/>
      <c r="G51" s="976"/>
      <c r="H51" s="976"/>
      <c r="I51" s="976"/>
      <c r="J51" s="975"/>
      <c r="K51" s="975"/>
      <c r="L51" s="975"/>
      <c r="M51" s="975"/>
      <c r="N51" s="975"/>
      <c r="O51" s="975"/>
      <c r="P51" s="975"/>
      <c r="Q51" s="975"/>
      <c r="R51" s="975"/>
      <c r="S51" s="975"/>
      <c r="T51" s="975"/>
      <c r="U51" s="976"/>
      <c r="V51" s="976"/>
      <c r="W51" s="976"/>
      <c r="X51" s="976"/>
      <c r="Y51" s="976"/>
      <c r="Z51" s="976"/>
    </row>
    <row r="52" spans="1:26" ht="15" x14ac:dyDescent="0.25">
      <c r="A52" s="1270"/>
      <c r="B52" s="1270"/>
      <c r="C52" s="1270"/>
      <c r="D52" s="1270"/>
      <c r="E52" s="1270"/>
      <c r="F52" s="1270"/>
      <c r="G52" s="1270"/>
      <c r="H52" s="1270"/>
      <c r="I52" s="1270"/>
      <c r="J52" s="975"/>
      <c r="K52" s="975"/>
      <c r="L52" s="975"/>
      <c r="M52" s="975"/>
      <c r="N52" s="975"/>
      <c r="O52" s="975"/>
      <c r="P52" s="975"/>
      <c r="Q52" s="975"/>
      <c r="R52" s="975"/>
      <c r="S52" s="975"/>
      <c r="T52" s="975"/>
      <c r="U52" s="976"/>
      <c r="V52" s="976"/>
      <c r="W52" s="976"/>
      <c r="X52" s="976"/>
      <c r="Y52" s="976"/>
      <c r="Z52" s="976"/>
    </row>
    <row r="53" spans="1:26" ht="15" x14ac:dyDescent="0.25">
      <c r="A53" s="1271"/>
      <c r="B53" s="1271"/>
      <c r="C53" s="1271"/>
      <c r="D53" s="1271"/>
      <c r="E53" s="1271"/>
      <c r="F53" s="1271"/>
      <c r="G53" s="1271"/>
      <c r="H53" s="1271"/>
      <c r="I53" s="1271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/>
      <c r="U53" s="976"/>
      <c r="V53" s="976"/>
      <c r="W53" s="976"/>
      <c r="X53" s="976"/>
      <c r="Y53" s="976"/>
      <c r="Z53" s="976"/>
    </row>
    <row r="54" spans="1:26" ht="15" x14ac:dyDescent="0.25">
      <c r="A54" s="488"/>
      <c r="B54" s="975"/>
      <c r="C54" s="975"/>
      <c r="D54" s="975"/>
      <c r="E54" s="975"/>
      <c r="F54" s="975"/>
      <c r="G54" s="975"/>
      <c r="H54" s="975"/>
      <c r="I54" s="975"/>
      <c r="J54" s="975"/>
      <c r="K54" s="975"/>
      <c r="L54" s="975"/>
      <c r="M54" s="975"/>
      <c r="N54" s="975"/>
      <c r="O54" s="975"/>
      <c r="P54" s="975"/>
      <c r="Q54" s="975"/>
      <c r="R54" s="975"/>
      <c r="S54" s="975"/>
      <c r="T54" s="975"/>
      <c r="U54" s="976"/>
      <c r="V54" s="976"/>
      <c r="W54" s="976"/>
      <c r="X54" s="976"/>
      <c r="Y54" s="976"/>
      <c r="Z54" s="976"/>
    </row>
    <row r="55" spans="1:26" ht="15" x14ac:dyDescent="0.25">
      <c r="A55" s="488" t="s">
        <v>102</v>
      </c>
      <c r="B55" s="975"/>
      <c r="C55" s="975"/>
      <c r="D55" s="975"/>
      <c r="E55" s="975"/>
      <c r="F55" s="975"/>
      <c r="G55" s="975"/>
      <c r="H55" s="975"/>
      <c r="I55" s="975"/>
      <c r="J55" s="975"/>
      <c r="K55" s="975"/>
      <c r="L55" s="975"/>
      <c r="M55" s="975"/>
      <c r="N55" s="975"/>
      <c r="O55" s="975"/>
      <c r="P55" s="975"/>
      <c r="Q55" s="975"/>
      <c r="R55" s="975"/>
      <c r="S55" s="975"/>
      <c r="T55" s="975"/>
      <c r="U55" s="976"/>
      <c r="V55" s="976"/>
      <c r="W55" s="976"/>
      <c r="X55" s="976"/>
      <c r="Y55" s="976"/>
      <c r="Z55" s="976"/>
    </row>
    <row r="56" spans="1:26" ht="15" x14ac:dyDescent="0.25">
      <c r="A56" s="1272"/>
      <c r="B56" s="1272"/>
      <c r="C56" s="1272"/>
      <c r="D56" s="1272"/>
      <c r="E56" s="1272"/>
      <c r="F56" s="1272"/>
      <c r="G56" s="1272"/>
      <c r="H56" s="1272"/>
      <c r="I56" s="1272"/>
      <c r="J56" s="975"/>
      <c r="K56" s="975"/>
      <c r="L56" s="975"/>
      <c r="M56" s="975"/>
      <c r="N56" s="975"/>
      <c r="O56" s="975"/>
      <c r="P56" s="975"/>
      <c r="Q56" s="975"/>
      <c r="R56" s="975"/>
      <c r="S56" s="975"/>
      <c r="T56" s="975"/>
      <c r="U56" s="976"/>
      <c r="V56" s="976"/>
      <c r="W56" s="976"/>
      <c r="X56" s="976"/>
      <c r="Y56" s="976"/>
      <c r="Z56" s="976"/>
    </row>
    <row r="57" spans="1:26" ht="15" x14ac:dyDescent="0.25">
      <c r="A57" s="1273"/>
      <c r="B57" s="1273"/>
      <c r="C57" s="1273"/>
      <c r="D57" s="1273"/>
      <c r="E57" s="1273"/>
      <c r="F57" s="1273"/>
      <c r="G57" s="1273"/>
      <c r="H57" s="1273"/>
      <c r="I57" s="1273"/>
      <c r="J57" s="975"/>
      <c r="K57" s="975"/>
      <c r="L57" s="975"/>
      <c r="M57" s="975"/>
      <c r="N57" s="975"/>
      <c r="O57" s="975"/>
      <c r="P57" s="975"/>
      <c r="Q57" s="975"/>
      <c r="R57" s="975"/>
      <c r="S57" s="975"/>
      <c r="T57" s="975"/>
      <c r="U57" s="976"/>
      <c r="V57" s="976"/>
      <c r="W57" s="976"/>
      <c r="X57" s="976"/>
      <c r="Y57" s="976"/>
      <c r="Z57" s="976"/>
    </row>
    <row r="58" spans="1:26" ht="15" x14ac:dyDescent="0.25">
      <c r="A58" s="977"/>
      <c r="B58" s="977"/>
      <c r="C58" s="977"/>
      <c r="D58" s="977"/>
      <c r="E58" s="977"/>
      <c r="F58" s="977"/>
      <c r="G58" s="977"/>
      <c r="H58" s="977"/>
      <c r="I58" s="977"/>
      <c r="J58" s="975"/>
      <c r="K58" s="975"/>
      <c r="L58" s="975"/>
      <c r="M58" s="975"/>
      <c r="N58" s="975"/>
      <c r="O58" s="975"/>
      <c r="P58" s="975"/>
      <c r="Q58" s="975"/>
      <c r="R58" s="975"/>
      <c r="S58" s="975"/>
      <c r="T58" s="975"/>
      <c r="U58" s="976"/>
      <c r="V58" s="976"/>
      <c r="W58" s="976"/>
      <c r="X58" s="976"/>
      <c r="Y58" s="976"/>
      <c r="Z58" s="976"/>
    </row>
    <row r="59" spans="1:26" ht="15" x14ac:dyDescent="0.25">
      <c r="A59" s="1274"/>
      <c r="B59" s="1274"/>
      <c r="C59" s="1274"/>
      <c r="D59" s="1274"/>
      <c r="E59" s="1274"/>
      <c r="F59" s="1274"/>
      <c r="G59" s="1274"/>
      <c r="H59" s="1274"/>
      <c r="I59" s="1274"/>
      <c r="J59" s="975"/>
      <c r="K59" s="975"/>
      <c r="L59" s="975"/>
      <c r="M59" s="975"/>
      <c r="N59" s="975"/>
      <c r="O59" s="975"/>
      <c r="P59" s="975"/>
      <c r="Q59" s="975"/>
      <c r="R59" s="975"/>
      <c r="S59" s="975"/>
      <c r="T59" s="975"/>
      <c r="U59" s="976"/>
      <c r="V59" s="976"/>
      <c r="W59" s="976"/>
      <c r="X59" s="976"/>
      <c r="Y59" s="976"/>
      <c r="Z59" s="976"/>
    </row>
    <row r="60" spans="1:26" ht="15" x14ac:dyDescent="0.25">
      <c r="A60" s="1269"/>
      <c r="B60" s="1269"/>
      <c r="C60" s="1269"/>
      <c r="D60" s="1269"/>
      <c r="E60" s="1269"/>
      <c r="F60" s="1269"/>
      <c r="G60" s="1269"/>
      <c r="H60" s="1269"/>
      <c r="I60" s="1269"/>
      <c r="J60" s="975"/>
      <c r="K60" s="975"/>
      <c r="L60" s="975"/>
      <c r="M60" s="975"/>
      <c r="N60" s="975"/>
      <c r="O60" s="975"/>
      <c r="P60" s="975"/>
      <c r="Q60" s="975"/>
      <c r="R60" s="975"/>
      <c r="S60" s="975"/>
      <c r="T60" s="975"/>
      <c r="U60" s="976"/>
      <c r="V60" s="976"/>
      <c r="W60" s="976"/>
      <c r="X60" s="976"/>
      <c r="Y60" s="976"/>
      <c r="Z60" s="976"/>
    </row>
    <row r="61" spans="1:26" ht="15" x14ac:dyDescent="0.25">
      <c r="A61" s="1269"/>
      <c r="B61" s="1269"/>
      <c r="C61" s="1269"/>
      <c r="D61" s="1269"/>
      <c r="E61" s="1269"/>
      <c r="F61" s="1269"/>
      <c r="G61" s="1269"/>
      <c r="H61" s="1269"/>
      <c r="I61" s="1269"/>
      <c r="J61" s="975"/>
      <c r="K61" s="975"/>
      <c r="L61" s="975"/>
      <c r="M61" s="975"/>
      <c r="N61" s="975"/>
      <c r="O61" s="975"/>
      <c r="P61" s="975"/>
      <c r="Q61" s="975"/>
      <c r="R61" s="975"/>
      <c r="S61" s="975"/>
      <c r="T61" s="975"/>
      <c r="U61" s="976"/>
      <c r="V61" s="976"/>
      <c r="W61" s="976"/>
      <c r="X61" s="976"/>
      <c r="Y61" s="976"/>
      <c r="Z61" s="976"/>
    </row>
    <row r="62" spans="1:26" ht="15" x14ac:dyDescent="0.25">
      <c r="A62" s="975"/>
      <c r="B62" s="975"/>
      <c r="C62" s="975"/>
      <c r="D62" s="975"/>
      <c r="E62" s="975"/>
      <c r="F62" s="975"/>
      <c r="G62" s="975"/>
      <c r="H62" s="975"/>
      <c r="I62" s="975"/>
      <c r="J62" s="975"/>
      <c r="K62" s="975"/>
      <c r="L62" s="975"/>
      <c r="M62" s="975"/>
      <c r="N62" s="975"/>
      <c r="O62" s="975"/>
      <c r="P62" s="975"/>
      <c r="Q62" s="975"/>
      <c r="R62" s="975"/>
      <c r="S62" s="975"/>
      <c r="T62" s="975"/>
      <c r="U62" s="976"/>
      <c r="V62" s="976"/>
      <c r="W62" s="976"/>
      <c r="X62" s="976"/>
      <c r="Y62" s="976"/>
      <c r="Z62" s="976"/>
    </row>
    <row r="63" spans="1:26" ht="15" x14ac:dyDescent="0.25">
      <c r="A63" s="975"/>
      <c r="B63" s="975"/>
      <c r="C63" s="975"/>
      <c r="D63" s="975"/>
      <c r="E63" s="975"/>
      <c r="F63" s="975"/>
      <c r="G63" s="975"/>
      <c r="H63" s="975"/>
      <c r="I63" s="975"/>
      <c r="J63" s="975"/>
      <c r="K63" s="975"/>
      <c r="L63" s="975"/>
      <c r="M63" s="975"/>
      <c r="N63" s="975"/>
      <c r="O63" s="975"/>
      <c r="P63" s="975"/>
      <c r="Q63" s="975"/>
      <c r="R63" s="975"/>
      <c r="S63" s="975"/>
      <c r="T63" s="975"/>
      <c r="U63" s="976"/>
      <c r="V63" s="976"/>
      <c r="W63" s="976"/>
      <c r="X63" s="976"/>
      <c r="Y63" s="976"/>
      <c r="Z63" s="976"/>
    </row>
    <row r="64" spans="1:26" ht="15" x14ac:dyDescent="0.25">
      <c r="A64" s="975"/>
      <c r="B64" s="975"/>
      <c r="C64" s="975"/>
      <c r="D64" s="975"/>
      <c r="E64" s="975"/>
      <c r="F64" s="975"/>
      <c r="G64" s="975"/>
      <c r="H64" s="975"/>
      <c r="I64" s="975"/>
      <c r="J64" s="975"/>
      <c r="K64" s="975"/>
      <c r="L64" s="975"/>
      <c r="M64" s="975"/>
      <c r="N64" s="975"/>
      <c r="O64" s="975"/>
      <c r="P64" s="975"/>
      <c r="Q64" s="975"/>
      <c r="R64" s="975"/>
      <c r="S64" s="975"/>
      <c r="T64" s="975"/>
      <c r="U64" s="976"/>
      <c r="V64" s="976"/>
      <c r="W64" s="976"/>
      <c r="X64" s="976"/>
      <c r="Y64" s="976"/>
      <c r="Z64" s="976"/>
    </row>
    <row r="65" spans="1:26" ht="15" x14ac:dyDescent="0.25">
      <c r="A65" s="976"/>
      <c r="B65" s="976"/>
      <c r="C65" s="976"/>
      <c r="D65" s="976"/>
      <c r="E65" s="976"/>
      <c r="F65" s="976"/>
      <c r="G65" s="976"/>
      <c r="H65" s="976"/>
      <c r="I65" s="976"/>
      <c r="J65" s="976"/>
      <c r="K65" s="976"/>
      <c r="L65" s="976"/>
      <c r="M65" s="976"/>
      <c r="N65" s="976"/>
      <c r="O65" s="976"/>
      <c r="P65" s="976"/>
      <c r="Q65" s="976"/>
      <c r="R65" s="976"/>
      <c r="S65" s="976"/>
      <c r="T65" s="976"/>
      <c r="U65" s="976"/>
      <c r="V65" s="976"/>
      <c r="W65" s="976"/>
      <c r="X65" s="976"/>
      <c r="Y65" s="976"/>
      <c r="Z65" s="976"/>
    </row>
    <row r="66" spans="1:26" ht="15" x14ac:dyDescent="0.25">
      <c r="A66" s="976"/>
      <c r="B66" s="976"/>
      <c r="C66" s="976"/>
      <c r="D66" s="976"/>
      <c r="E66" s="976"/>
      <c r="F66" s="976"/>
      <c r="G66" s="976"/>
      <c r="H66" s="976"/>
      <c r="I66" s="976"/>
      <c r="J66" s="976"/>
      <c r="K66" s="976"/>
      <c r="L66" s="976"/>
      <c r="M66" s="976"/>
      <c r="N66" s="976"/>
      <c r="O66" s="976"/>
      <c r="P66" s="976"/>
      <c r="Q66" s="976"/>
      <c r="R66" s="976"/>
      <c r="S66" s="976"/>
      <c r="T66" s="976"/>
      <c r="U66" s="976"/>
      <c r="V66" s="976"/>
      <c r="W66" s="976"/>
      <c r="X66" s="976"/>
      <c r="Y66" s="976"/>
      <c r="Z66" s="976"/>
    </row>
    <row r="67" spans="1:26" ht="15" x14ac:dyDescent="0.25">
      <c r="A67" s="976"/>
      <c r="B67" s="976"/>
      <c r="C67" s="976"/>
      <c r="D67" s="976"/>
      <c r="E67" s="976"/>
      <c r="F67" s="976"/>
      <c r="G67" s="976"/>
      <c r="H67" s="976"/>
      <c r="I67" s="976"/>
      <c r="J67" s="976"/>
      <c r="K67" s="976"/>
      <c r="L67" s="976"/>
      <c r="M67" s="976"/>
      <c r="N67" s="976"/>
      <c r="O67" s="976"/>
      <c r="P67" s="976"/>
      <c r="Q67" s="976"/>
      <c r="R67" s="976"/>
      <c r="S67" s="976"/>
      <c r="T67" s="976"/>
      <c r="U67" s="976"/>
      <c r="V67" s="976"/>
      <c r="W67" s="976"/>
      <c r="X67" s="976"/>
      <c r="Y67" s="976"/>
      <c r="Z67" s="976"/>
    </row>
    <row r="68" spans="1:26" ht="15" x14ac:dyDescent="0.25">
      <c r="A68" s="976"/>
      <c r="B68" s="976"/>
      <c r="C68" s="976"/>
      <c r="D68" s="976"/>
      <c r="E68" s="976"/>
      <c r="F68" s="976"/>
      <c r="G68" s="976"/>
      <c r="H68" s="976"/>
      <c r="I68" s="976"/>
      <c r="J68" s="976"/>
      <c r="K68" s="976"/>
      <c r="L68" s="976"/>
      <c r="M68" s="976"/>
      <c r="N68" s="976"/>
      <c r="O68" s="976"/>
      <c r="P68" s="976"/>
      <c r="Q68" s="976"/>
      <c r="R68" s="976"/>
      <c r="S68" s="976"/>
      <c r="T68" s="976"/>
      <c r="U68" s="976"/>
      <c r="V68" s="976"/>
      <c r="W68" s="976"/>
      <c r="X68" s="976"/>
      <c r="Y68" s="976"/>
      <c r="Z68" s="976"/>
    </row>
    <row r="69" spans="1:26" ht="15" x14ac:dyDescent="0.25">
      <c r="A69" s="976"/>
      <c r="B69" s="976"/>
      <c r="C69" s="976"/>
      <c r="D69" s="976"/>
      <c r="E69" s="976"/>
      <c r="F69" s="976"/>
      <c r="G69" s="976"/>
      <c r="H69" s="976"/>
      <c r="I69" s="976"/>
      <c r="J69" s="976"/>
      <c r="K69" s="976"/>
      <c r="L69" s="976"/>
      <c r="M69" s="976"/>
      <c r="N69" s="976"/>
      <c r="O69" s="976"/>
      <c r="P69" s="976"/>
      <c r="Q69" s="976"/>
      <c r="R69" s="976"/>
      <c r="S69" s="976"/>
      <c r="T69" s="976"/>
      <c r="U69" s="976"/>
      <c r="V69" s="976"/>
      <c r="W69" s="976"/>
      <c r="X69" s="976"/>
      <c r="Y69" s="976"/>
      <c r="Z69" s="976"/>
    </row>
    <row r="70" spans="1:26" ht="15" x14ac:dyDescent="0.25">
      <c r="A70" s="976"/>
      <c r="B70" s="976"/>
      <c r="C70" s="976"/>
      <c r="D70" s="976"/>
      <c r="E70" s="976"/>
      <c r="F70" s="976"/>
      <c r="G70" s="976"/>
      <c r="H70" s="976"/>
      <c r="I70" s="976"/>
      <c r="J70" s="976"/>
      <c r="K70" s="976"/>
      <c r="L70" s="976"/>
      <c r="M70" s="976"/>
      <c r="N70" s="976"/>
      <c r="O70" s="976"/>
      <c r="P70" s="976"/>
      <c r="Q70" s="976"/>
      <c r="R70" s="976"/>
      <c r="S70" s="976"/>
      <c r="T70" s="976"/>
      <c r="U70" s="976"/>
      <c r="V70" s="976"/>
      <c r="W70" s="976"/>
      <c r="X70" s="976"/>
      <c r="Y70" s="976"/>
      <c r="Z70" s="976"/>
    </row>
    <row r="71" spans="1:26" ht="15" x14ac:dyDescent="0.25">
      <c r="A71" s="976"/>
      <c r="B71" s="976"/>
      <c r="C71" s="976"/>
      <c r="D71" s="976"/>
      <c r="E71" s="976"/>
      <c r="F71" s="976"/>
      <c r="G71" s="976"/>
      <c r="H71" s="976"/>
      <c r="I71" s="976"/>
      <c r="J71" s="976"/>
      <c r="K71" s="976"/>
      <c r="L71" s="976"/>
      <c r="M71" s="976"/>
      <c r="N71" s="976"/>
      <c r="O71" s="976"/>
      <c r="P71" s="976"/>
      <c r="Q71" s="976"/>
      <c r="R71" s="976"/>
      <c r="S71" s="976"/>
      <c r="T71" s="976"/>
      <c r="U71" s="976"/>
      <c r="V71" s="976"/>
      <c r="W71" s="976"/>
      <c r="X71" s="976"/>
      <c r="Y71" s="976"/>
      <c r="Z71" s="976"/>
    </row>
    <row r="72" spans="1:26" ht="15" x14ac:dyDescent="0.25">
      <c r="A72" s="976"/>
      <c r="B72" s="976"/>
      <c r="C72" s="976"/>
      <c r="D72" s="976"/>
      <c r="E72" s="976"/>
      <c r="F72" s="976"/>
      <c r="G72" s="976"/>
      <c r="H72" s="976"/>
      <c r="I72" s="976"/>
      <c r="J72" s="976"/>
      <c r="K72" s="976"/>
      <c r="L72" s="976"/>
      <c r="M72" s="976"/>
      <c r="N72" s="976"/>
      <c r="O72" s="976"/>
      <c r="P72" s="976"/>
      <c r="Q72" s="976"/>
      <c r="R72" s="976"/>
      <c r="S72" s="976"/>
      <c r="T72" s="976"/>
      <c r="U72" s="976"/>
      <c r="V72" s="976"/>
      <c r="W72" s="976"/>
      <c r="X72" s="976"/>
      <c r="Y72" s="976"/>
      <c r="Z72" s="976"/>
    </row>
    <row r="73" spans="1:26" ht="15" x14ac:dyDescent="0.25">
      <c r="A73" s="976"/>
      <c r="B73" s="976"/>
      <c r="C73" s="976"/>
      <c r="D73" s="976"/>
      <c r="E73" s="976"/>
      <c r="F73" s="976"/>
      <c r="G73" s="976"/>
      <c r="H73" s="976"/>
      <c r="I73" s="976"/>
      <c r="J73" s="976"/>
      <c r="K73" s="976"/>
      <c r="L73" s="976"/>
      <c r="M73" s="976"/>
      <c r="N73" s="976"/>
      <c r="O73" s="976"/>
      <c r="P73" s="976"/>
      <c r="Q73" s="976"/>
      <c r="R73" s="976"/>
      <c r="S73" s="976"/>
      <c r="T73" s="976"/>
      <c r="U73" s="976"/>
      <c r="V73" s="976"/>
      <c r="W73" s="976"/>
      <c r="X73" s="976"/>
      <c r="Y73" s="976"/>
      <c r="Z73" s="976"/>
    </row>
    <row r="74" spans="1:26" ht="15" x14ac:dyDescent="0.25">
      <c r="A74" s="976"/>
      <c r="B74" s="976"/>
      <c r="C74" s="976"/>
      <c r="D74" s="976"/>
      <c r="E74" s="976"/>
      <c r="F74" s="976"/>
      <c r="G74" s="976"/>
      <c r="H74" s="976"/>
      <c r="I74" s="976"/>
      <c r="J74" s="976"/>
      <c r="K74" s="976"/>
      <c r="L74" s="976"/>
      <c r="M74" s="976"/>
      <c r="N74" s="976"/>
      <c r="O74" s="976"/>
      <c r="P74" s="976"/>
      <c r="Q74" s="976"/>
      <c r="R74" s="976"/>
      <c r="S74" s="976"/>
      <c r="T74" s="976"/>
      <c r="U74" s="976"/>
      <c r="V74" s="976"/>
      <c r="W74" s="976"/>
      <c r="X74" s="976"/>
      <c r="Y74" s="976"/>
      <c r="Z74" s="976"/>
    </row>
    <row r="75" spans="1:26" ht="15" x14ac:dyDescent="0.25">
      <c r="A75" s="976"/>
      <c r="B75" s="976"/>
      <c r="C75" s="976"/>
      <c r="D75" s="976"/>
      <c r="E75" s="976"/>
      <c r="F75" s="976"/>
      <c r="G75" s="976"/>
      <c r="H75" s="976"/>
      <c r="I75" s="976"/>
      <c r="J75" s="976"/>
      <c r="K75" s="976"/>
      <c r="L75" s="976"/>
      <c r="M75" s="976"/>
      <c r="N75" s="976"/>
      <c r="O75" s="976"/>
      <c r="P75" s="976"/>
      <c r="Q75" s="976"/>
      <c r="R75" s="976"/>
      <c r="S75" s="976"/>
      <c r="T75" s="976"/>
      <c r="U75" s="976"/>
      <c r="V75" s="976"/>
      <c r="W75" s="976"/>
      <c r="X75" s="976"/>
      <c r="Y75" s="976"/>
      <c r="Z75" s="976"/>
    </row>
    <row r="76" spans="1:26" ht="15" x14ac:dyDescent="0.25">
      <c r="A76" s="976"/>
      <c r="B76" s="976"/>
      <c r="C76" s="976"/>
      <c r="D76" s="976"/>
      <c r="E76" s="976"/>
      <c r="F76" s="976"/>
      <c r="G76" s="976"/>
      <c r="H76" s="976"/>
      <c r="I76" s="976"/>
      <c r="J76" s="976"/>
      <c r="K76" s="976"/>
      <c r="L76" s="976"/>
      <c r="M76" s="976"/>
      <c r="N76" s="976"/>
      <c r="O76" s="976"/>
      <c r="P76" s="976"/>
      <c r="Q76" s="976"/>
      <c r="R76" s="976"/>
      <c r="S76" s="976"/>
      <c r="T76" s="976"/>
      <c r="U76" s="976"/>
      <c r="V76" s="976"/>
      <c r="W76" s="976"/>
      <c r="X76" s="976"/>
      <c r="Y76" s="976"/>
      <c r="Z76" s="976"/>
    </row>
    <row r="77" spans="1:26" ht="15" x14ac:dyDescent="0.25">
      <c r="A77" s="976"/>
      <c r="B77" s="976"/>
      <c r="C77" s="976"/>
      <c r="D77" s="976"/>
      <c r="E77" s="976"/>
      <c r="F77" s="976"/>
      <c r="G77" s="976"/>
      <c r="H77" s="976"/>
      <c r="I77" s="976"/>
      <c r="J77" s="976"/>
      <c r="K77" s="976"/>
      <c r="L77" s="976"/>
      <c r="M77" s="976"/>
      <c r="N77" s="976"/>
      <c r="O77" s="976"/>
      <c r="P77" s="976"/>
      <c r="Q77" s="976"/>
      <c r="R77" s="976"/>
      <c r="S77" s="976"/>
      <c r="T77" s="976"/>
      <c r="U77" s="976"/>
      <c r="V77" s="976"/>
      <c r="W77" s="976"/>
      <c r="X77" s="976"/>
      <c r="Y77" s="976"/>
      <c r="Z77" s="976"/>
    </row>
    <row r="78" spans="1:26" ht="15" x14ac:dyDescent="0.25">
      <c r="A78" s="976"/>
      <c r="B78" s="976"/>
      <c r="C78" s="976"/>
      <c r="D78" s="976"/>
      <c r="E78" s="976"/>
      <c r="F78" s="976"/>
      <c r="G78" s="976"/>
      <c r="H78" s="976"/>
      <c r="I78" s="976"/>
      <c r="J78" s="976"/>
      <c r="K78" s="976"/>
      <c r="L78" s="976"/>
      <c r="M78" s="976"/>
      <c r="N78" s="976"/>
      <c r="O78" s="976"/>
      <c r="P78" s="976"/>
      <c r="Q78" s="976"/>
      <c r="R78" s="976"/>
      <c r="S78" s="976"/>
      <c r="T78" s="976"/>
      <c r="U78" s="976"/>
      <c r="V78" s="976"/>
      <c r="W78" s="976"/>
      <c r="X78" s="976"/>
      <c r="Y78" s="976"/>
      <c r="Z78" s="976"/>
    </row>
    <row r="79" spans="1:26" ht="15" x14ac:dyDescent="0.25">
      <c r="A79" s="976"/>
      <c r="B79" s="976"/>
      <c r="C79" s="976"/>
      <c r="D79" s="976"/>
      <c r="E79" s="976"/>
      <c r="F79" s="976"/>
      <c r="G79" s="976"/>
      <c r="H79" s="976"/>
      <c r="I79" s="976"/>
      <c r="J79" s="976"/>
      <c r="K79" s="976"/>
      <c r="L79" s="976"/>
      <c r="M79" s="976"/>
      <c r="N79" s="976"/>
      <c r="O79" s="976"/>
      <c r="P79" s="976"/>
      <c r="Q79" s="976"/>
      <c r="R79" s="976"/>
      <c r="S79" s="976"/>
      <c r="T79" s="976"/>
      <c r="U79" s="976"/>
      <c r="V79" s="976"/>
      <c r="W79" s="976"/>
      <c r="X79" s="976"/>
      <c r="Y79" s="976"/>
      <c r="Z79" s="976"/>
    </row>
    <row r="80" spans="1:26" ht="15" x14ac:dyDescent="0.25">
      <c r="A80" s="976"/>
      <c r="B80" s="976"/>
      <c r="C80" s="976"/>
      <c r="D80" s="976"/>
      <c r="E80" s="976"/>
      <c r="F80" s="976"/>
      <c r="G80" s="976"/>
      <c r="H80" s="976"/>
      <c r="I80" s="976"/>
      <c r="J80" s="976"/>
      <c r="K80" s="976"/>
      <c r="L80" s="976"/>
      <c r="M80" s="976"/>
      <c r="N80" s="976"/>
      <c r="O80" s="976"/>
      <c r="P80" s="976"/>
      <c r="Q80" s="976"/>
      <c r="R80" s="976"/>
      <c r="S80" s="976"/>
      <c r="T80" s="976"/>
      <c r="U80" s="976"/>
      <c r="V80" s="976"/>
      <c r="W80" s="976"/>
      <c r="X80" s="976"/>
      <c r="Y80" s="976"/>
      <c r="Z80" s="976"/>
    </row>
    <row r="81" spans="1:26" ht="15" x14ac:dyDescent="0.25">
      <c r="A81" s="976"/>
      <c r="B81" s="976"/>
      <c r="C81" s="976"/>
      <c r="D81" s="976"/>
      <c r="E81" s="976"/>
      <c r="F81" s="976"/>
      <c r="G81" s="976"/>
      <c r="H81" s="976"/>
      <c r="I81" s="976"/>
      <c r="J81" s="976"/>
      <c r="K81" s="976"/>
      <c r="L81" s="976"/>
      <c r="M81" s="976"/>
      <c r="N81" s="976"/>
      <c r="O81" s="976"/>
      <c r="P81" s="976"/>
      <c r="Q81" s="976"/>
      <c r="R81" s="976"/>
      <c r="S81" s="976"/>
      <c r="T81" s="976"/>
      <c r="U81" s="976"/>
      <c r="V81" s="976"/>
      <c r="W81" s="976"/>
      <c r="X81" s="976"/>
      <c r="Y81" s="976"/>
      <c r="Z81" s="976"/>
    </row>
    <row r="82" spans="1:26" ht="15" x14ac:dyDescent="0.25">
      <c r="A82" s="976"/>
      <c r="B82" s="976"/>
      <c r="C82" s="976"/>
      <c r="D82" s="976"/>
      <c r="E82" s="976"/>
      <c r="F82" s="976"/>
      <c r="G82" s="976"/>
      <c r="H82" s="976"/>
      <c r="I82" s="976"/>
      <c r="J82" s="976"/>
      <c r="K82" s="976"/>
      <c r="L82" s="976"/>
      <c r="M82" s="976"/>
      <c r="N82" s="976"/>
      <c r="O82" s="976"/>
      <c r="P82" s="976"/>
      <c r="Q82" s="976"/>
      <c r="R82" s="976"/>
      <c r="S82" s="976"/>
      <c r="T82" s="976"/>
      <c r="U82" s="976"/>
      <c r="V82" s="976"/>
      <c r="W82" s="976"/>
      <c r="X82" s="976"/>
      <c r="Y82" s="976"/>
      <c r="Z82" s="976"/>
    </row>
    <row r="83" spans="1:26" ht="15" x14ac:dyDescent="0.25">
      <c r="A83" s="976"/>
      <c r="B83" s="976"/>
      <c r="C83" s="976"/>
      <c r="D83" s="976"/>
      <c r="E83" s="976"/>
      <c r="F83" s="976"/>
      <c r="G83" s="976"/>
      <c r="H83" s="976"/>
      <c r="I83" s="976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6"/>
    </row>
    <row r="84" spans="1:26" ht="15" x14ac:dyDescent="0.25">
      <c r="A84" s="976"/>
      <c r="B84" s="976"/>
      <c r="C84" s="976"/>
      <c r="D84" s="976"/>
      <c r="E84" s="976"/>
      <c r="F84" s="976"/>
      <c r="G84" s="976"/>
      <c r="H84" s="976"/>
      <c r="I84" s="976"/>
      <c r="J84" s="976"/>
      <c r="K84" s="976"/>
      <c r="L84" s="976"/>
      <c r="M84" s="976"/>
      <c r="N84" s="976"/>
      <c r="O84" s="976"/>
      <c r="P84" s="976"/>
      <c r="Q84" s="976"/>
      <c r="R84" s="976"/>
      <c r="S84" s="976"/>
      <c r="T84" s="976"/>
      <c r="U84" s="976"/>
      <c r="V84" s="976"/>
      <c r="W84" s="976"/>
      <c r="X84" s="976"/>
      <c r="Y84" s="976"/>
      <c r="Z84" s="976"/>
    </row>
    <row r="85" spans="1:26" ht="15" x14ac:dyDescent="0.25">
      <c r="A85" s="976"/>
      <c r="B85" s="976"/>
      <c r="C85" s="976"/>
      <c r="D85" s="976"/>
      <c r="E85" s="976"/>
      <c r="F85" s="976"/>
      <c r="G85" s="976"/>
      <c r="H85" s="976"/>
      <c r="I85" s="976"/>
      <c r="J85" s="976"/>
      <c r="K85" s="976"/>
      <c r="L85" s="976"/>
      <c r="M85" s="976"/>
      <c r="N85" s="976"/>
      <c r="O85" s="976"/>
      <c r="P85" s="976"/>
      <c r="Q85" s="976"/>
      <c r="R85" s="976"/>
      <c r="S85" s="976"/>
      <c r="T85" s="976"/>
      <c r="U85" s="976"/>
      <c r="V85" s="976"/>
      <c r="W85" s="976"/>
      <c r="X85" s="976"/>
      <c r="Y85" s="976"/>
      <c r="Z85" s="976"/>
    </row>
    <row r="86" spans="1:26" ht="15" x14ac:dyDescent="0.25">
      <c r="A86" s="976"/>
      <c r="B86" s="976"/>
      <c r="C86" s="976"/>
      <c r="D86" s="976"/>
      <c r="E86" s="976"/>
      <c r="F86" s="976"/>
      <c r="G86" s="976"/>
      <c r="H86" s="976"/>
      <c r="I86" s="976"/>
      <c r="J86" s="976"/>
      <c r="K86" s="976"/>
      <c r="L86" s="976"/>
      <c r="M86" s="976"/>
      <c r="N86" s="976"/>
      <c r="O86" s="976"/>
      <c r="P86" s="976"/>
      <c r="Q86" s="976"/>
      <c r="R86" s="976"/>
      <c r="S86" s="976"/>
      <c r="T86" s="976"/>
      <c r="U86" s="976"/>
      <c r="V86" s="976"/>
      <c r="W86" s="976"/>
      <c r="X86" s="976"/>
      <c r="Y86" s="976"/>
      <c r="Z86" s="976"/>
    </row>
    <row r="87" spans="1:26" ht="15" x14ac:dyDescent="0.25">
      <c r="A87" s="976"/>
      <c r="B87" s="976"/>
      <c r="C87" s="976"/>
      <c r="D87" s="976"/>
      <c r="E87" s="976"/>
      <c r="F87" s="976"/>
      <c r="G87" s="976"/>
      <c r="H87" s="976"/>
      <c r="I87" s="976"/>
      <c r="J87" s="976"/>
      <c r="K87" s="976"/>
      <c r="L87" s="976"/>
      <c r="M87" s="976"/>
      <c r="N87" s="976"/>
      <c r="O87" s="976"/>
      <c r="P87" s="976"/>
      <c r="Q87" s="976"/>
      <c r="R87" s="976"/>
      <c r="S87" s="976"/>
      <c r="T87" s="976"/>
      <c r="U87" s="976"/>
      <c r="V87" s="976"/>
      <c r="W87" s="976"/>
      <c r="X87" s="976"/>
      <c r="Y87" s="976"/>
      <c r="Z87" s="976"/>
    </row>
    <row r="88" spans="1:26" ht="15" x14ac:dyDescent="0.25">
      <c r="A88" s="976"/>
      <c r="B88" s="976"/>
      <c r="C88" s="976"/>
      <c r="D88" s="976"/>
      <c r="E88" s="976"/>
      <c r="F88" s="976"/>
      <c r="G88" s="976"/>
      <c r="H88" s="976"/>
      <c r="I88" s="976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/>
      <c r="W88" s="976"/>
      <c r="X88" s="976"/>
      <c r="Y88" s="976"/>
      <c r="Z88" s="976"/>
    </row>
    <row r="89" spans="1:26" ht="15" x14ac:dyDescent="0.25">
      <c r="A89" s="976"/>
      <c r="B89" s="976"/>
      <c r="C89" s="976"/>
      <c r="D89" s="976"/>
      <c r="E89" s="976"/>
      <c r="F89" s="976"/>
      <c r="G89" s="976"/>
      <c r="H89" s="976"/>
      <c r="I89" s="976"/>
      <c r="J89" s="976"/>
      <c r="K89" s="976"/>
      <c r="L89" s="976"/>
      <c r="M89" s="976"/>
      <c r="N89" s="976"/>
      <c r="O89" s="976"/>
      <c r="P89" s="976"/>
      <c r="Q89" s="976"/>
      <c r="R89" s="976"/>
      <c r="S89" s="976"/>
      <c r="T89" s="976"/>
      <c r="U89" s="976"/>
      <c r="V89" s="976"/>
      <c r="W89" s="976"/>
      <c r="X89" s="976"/>
      <c r="Y89" s="976"/>
      <c r="Z89" s="976"/>
    </row>
    <row r="90" spans="1:26" ht="15" x14ac:dyDescent="0.25">
      <c r="A90" s="976"/>
      <c r="B90" s="976"/>
      <c r="C90" s="976"/>
      <c r="D90" s="976"/>
      <c r="E90" s="976"/>
      <c r="F90" s="976"/>
      <c r="G90" s="976"/>
      <c r="H90" s="976"/>
      <c r="I90" s="976"/>
      <c r="J90" s="976"/>
      <c r="K90" s="976"/>
      <c r="L90" s="976"/>
      <c r="M90" s="976"/>
      <c r="N90" s="976"/>
      <c r="O90" s="976"/>
      <c r="P90" s="976"/>
      <c r="Q90" s="976"/>
      <c r="R90" s="976"/>
      <c r="S90" s="976"/>
      <c r="T90" s="976"/>
      <c r="U90" s="976"/>
      <c r="V90" s="976"/>
      <c r="W90" s="976"/>
      <c r="X90" s="976"/>
      <c r="Y90" s="976"/>
      <c r="Z90" s="976"/>
    </row>
    <row r="91" spans="1:26" ht="15" x14ac:dyDescent="0.25">
      <c r="A91" s="976"/>
      <c r="B91" s="976"/>
      <c r="C91" s="976"/>
      <c r="D91" s="976"/>
      <c r="E91" s="976"/>
      <c r="F91" s="976"/>
      <c r="G91" s="976"/>
      <c r="H91" s="976"/>
      <c r="I91" s="976"/>
      <c r="J91" s="976"/>
      <c r="K91" s="976"/>
      <c r="L91" s="976"/>
      <c r="M91" s="976"/>
      <c r="N91" s="976"/>
      <c r="O91" s="976"/>
      <c r="P91" s="976"/>
      <c r="Q91" s="976"/>
      <c r="R91" s="976"/>
      <c r="S91" s="976"/>
      <c r="T91" s="976"/>
      <c r="U91" s="976"/>
      <c r="V91" s="976"/>
      <c r="W91" s="976"/>
      <c r="X91" s="976"/>
      <c r="Y91" s="976"/>
      <c r="Z91" s="976"/>
    </row>
    <row r="92" spans="1:26" ht="15" x14ac:dyDescent="0.25">
      <c r="A92" s="976"/>
      <c r="B92" s="976"/>
      <c r="C92" s="976"/>
      <c r="D92" s="976"/>
      <c r="E92" s="976"/>
      <c r="F92" s="976"/>
      <c r="G92" s="976"/>
      <c r="H92" s="976"/>
      <c r="I92" s="976"/>
      <c r="J92" s="976"/>
      <c r="K92" s="976"/>
      <c r="L92" s="976"/>
      <c r="M92" s="976"/>
      <c r="N92" s="976"/>
      <c r="O92" s="976"/>
      <c r="P92" s="976"/>
      <c r="Q92" s="976"/>
      <c r="R92" s="976"/>
      <c r="S92" s="976"/>
      <c r="T92" s="976"/>
      <c r="U92" s="976"/>
      <c r="V92" s="976"/>
      <c r="W92" s="976"/>
      <c r="X92" s="976"/>
      <c r="Y92" s="976"/>
      <c r="Z92" s="976"/>
    </row>
    <row r="93" spans="1:26" ht="15" x14ac:dyDescent="0.25">
      <c r="A93" s="976"/>
      <c r="B93" s="976"/>
      <c r="C93" s="976"/>
      <c r="D93" s="976"/>
      <c r="E93" s="976"/>
      <c r="F93" s="976"/>
      <c r="G93" s="976"/>
      <c r="H93" s="976"/>
      <c r="I93" s="976"/>
      <c r="J93" s="976"/>
      <c r="K93" s="976"/>
      <c r="L93" s="976"/>
      <c r="M93" s="976"/>
      <c r="N93" s="976"/>
      <c r="O93" s="976"/>
      <c r="P93" s="976"/>
      <c r="Q93" s="976"/>
      <c r="R93" s="976"/>
      <c r="S93" s="976"/>
      <c r="T93" s="976"/>
      <c r="U93" s="976"/>
      <c r="V93" s="976"/>
      <c r="W93" s="976"/>
      <c r="X93" s="976"/>
      <c r="Y93" s="976"/>
      <c r="Z93" s="976"/>
    </row>
    <row r="94" spans="1:26" ht="15" x14ac:dyDescent="0.25">
      <c r="A94" s="976"/>
      <c r="B94" s="976"/>
      <c r="C94" s="976"/>
      <c r="D94" s="976"/>
      <c r="E94" s="976"/>
      <c r="F94" s="976"/>
      <c r="G94" s="976"/>
      <c r="H94" s="976"/>
      <c r="I94" s="976"/>
      <c r="J94" s="976"/>
      <c r="K94" s="976"/>
      <c r="L94" s="976"/>
      <c r="M94" s="976"/>
      <c r="N94" s="976"/>
      <c r="O94" s="976"/>
      <c r="P94" s="976"/>
      <c r="Q94" s="976"/>
      <c r="R94" s="976"/>
      <c r="S94" s="976"/>
      <c r="T94" s="976"/>
      <c r="U94" s="976"/>
      <c r="V94" s="976"/>
      <c r="W94" s="976"/>
      <c r="X94" s="976"/>
      <c r="Y94" s="976"/>
      <c r="Z94" s="976"/>
    </row>
    <row r="95" spans="1:26" ht="15" x14ac:dyDescent="0.25">
      <c r="A95" s="976"/>
      <c r="B95" s="976"/>
      <c r="C95" s="976"/>
      <c r="D95" s="976"/>
      <c r="E95" s="976"/>
      <c r="F95" s="976"/>
      <c r="G95" s="976"/>
      <c r="H95" s="976"/>
      <c r="I95" s="976"/>
      <c r="J95" s="976"/>
      <c r="K95" s="976"/>
      <c r="L95" s="976"/>
      <c r="M95" s="976"/>
      <c r="N95" s="976"/>
      <c r="O95" s="976"/>
      <c r="P95" s="976"/>
      <c r="Q95" s="976"/>
      <c r="R95" s="976"/>
      <c r="S95" s="976"/>
      <c r="T95" s="976"/>
      <c r="U95" s="976"/>
      <c r="V95" s="976"/>
      <c r="W95" s="976"/>
      <c r="X95" s="976"/>
      <c r="Y95" s="976"/>
      <c r="Z95" s="976"/>
    </row>
    <row r="96" spans="1:26" ht="15" x14ac:dyDescent="0.25">
      <c r="A96" s="976"/>
      <c r="B96" s="976"/>
      <c r="C96" s="976"/>
      <c r="D96" s="976"/>
      <c r="E96" s="976"/>
      <c r="F96" s="976"/>
      <c r="G96" s="976"/>
      <c r="H96" s="976"/>
      <c r="I96" s="976"/>
      <c r="J96" s="976"/>
      <c r="K96" s="976"/>
      <c r="L96" s="976"/>
      <c r="M96" s="976"/>
      <c r="N96" s="976"/>
      <c r="O96" s="976"/>
      <c r="P96" s="976"/>
      <c r="Q96" s="976"/>
      <c r="R96" s="976"/>
      <c r="S96" s="976"/>
      <c r="T96" s="976"/>
      <c r="U96" s="976"/>
      <c r="V96" s="976"/>
      <c r="W96" s="976"/>
      <c r="X96" s="976"/>
      <c r="Y96" s="976"/>
      <c r="Z96" s="976"/>
    </row>
    <row r="97" spans="1:26" ht="15" x14ac:dyDescent="0.25">
      <c r="A97" s="976"/>
      <c r="B97" s="976"/>
      <c r="C97" s="976"/>
      <c r="D97" s="976"/>
      <c r="E97" s="976"/>
      <c r="F97" s="976"/>
      <c r="G97" s="976"/>
      <c r="H97" s="976"/>
      <c r="I97" s="976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/>
      <c r="U97" s="976"/>
      <c r="V97" s="976"/>
      <c r="W97" s="976"/>
      <c r="X97" s="976"/>
      <c r="Y97" s="976"/>
      <c r="Z97" s="976"/>
    </row>
    <row r="98" spans="1:26" ht="15" x14ac:dyDescent="0.25">
      <c r="A98" s="976"/>
      <c r="B98" s="976"/>
      <c r="C98" s="976"/>
      <c r="D98" s="976"/>
      <c r="E98" s="976"/>
      <c r="F98" s="976"/>
      <c r="G98" s="976"/>
      <c r="H98" s="976"/>
      <c r="I98" s="976"/>
      <c r="J98" s="976"/>
      <c r="K98" s="976"/>
      <c r="L98" s="976"/>
      <c r="M98" s="976"/>
      <c r="N98" s="976"/>
      <c r="O98" s="976"/>
      <c r="P98" s="976"/>
      <c r="Q98" s="976"/>
      <c r="R98" s="976"/>
      <c r="S98" s="976"/>
      <c r="T98" s="976"/>
      <c r="U98" s="976"/>
      <c r="V98" s="976"/>
      <c r="W98" s="976"/>
      <c r="X98" s="976"/>
      <c r="Y98" s="976"/>
      <c r="Z98" s="976"/>
    </row>
    <row r="99" spans="1:26" ht="15" x14ac:dyDescent="0.25">
      <c r="A99" s="976"/>
      <c r="B99" s="976"/>
      <c r="C99" s="976"/>
      <c r="D99" s="976"/>
      <c r="E99" s="976"/>
      <c r="F99" s="976"/>
      <c r="G99" s="976"/>
      <c r="H99" s="976"/>
      <c r="I99" s="976"/>
      <c r="J99" s="976"/>
      <c r="K99" s="976"/>
      <c r="L99" s="976"/>
      <c r="M99" s="976"/>
      <c r="N99" s="976"/>
      <c r="O99" s="976"/>
      <c r="P99" s="976"/>
      <c r="Q99" s="976"/>
      <c r="R99" s="976"/>
      <c r="S99" s="976"/>
      <c r="T99" s="976"/>
      <c r="U99" s="976"/>
      <c r="V99" s="976"/>
      <c r="W99" s="976"/>
      <c r="X99" s="976"/>
      <c r="Y99" s="976"/>
      <c r="Z99" s="976"/>
    </row>
    <row r="100" spans="1:26" ht="15" x14ac:dyDescent="0.25">
      <c r="A100" s="976"/>
      <c r="B100" s="976"/>
      <c r="C100" s="976"/>
      <c r="D100" s="976"/>
      <c r="E100" s="976"/>
      <c r="F100" s="976"/>
      <c r="G100" s="976"/>
      <c r="H100" s="976"/>
      <c r="I100" s="976"/>
      <c r="J100" s="976"/>
      <c r="K100" s="976"/>
      <c r="L100" s="976"/>
      <c r="M100" s="976"/>
      <c r="N100" s="976"/>
      <c r="O100" s="976"/>
      <c r="P100" s="976"/>
      <c r="Q100" s="976"/>
      <c r="R100" s="976"/>
      <c r="S100" s="976"/>
      <c r="T100" s="976"/>
      <c r="U100" s="976"/>
      <c r="V100" s="976"/>
      <c r="W100" s="976"/>
      <c r="X100" s="976"/>
      <c r="Y100" s="976"/>
      <c r="Z100" s="976"/>
    </row>
    <row r="101" spans="1:26" ht="15" x14ac:dyDescent="0.25">
      <c r="A101" s="976"/>
      <c r="B101" s="976"/>
      <c r="C101" s="976"/>
      <c r="D101" s="976"/>
      <c r="E101" s="976"/>
      <c r="F101" s="976"/>
      <c r="G101" s="976"/>
      <c r="H101" s="976"/>
      <c r="I101" s="976"/>
      <c r="J101" s="976"/>
      <c r="K101" s="976"/>
      <c r="L101" s="976"/>
      <c r="M101" s="976"/>
      <c r="N101" s="976"/>
      <c r="O101" s="976"/>
      <c r="P101" s="976"/>
      <c r="Q101" s="976"/>
      <c r="R101" s="976"/>
      <c r="S101" s="976"/>
      <c r="T101" s="976"/>
      <c r="U101" s="976"/>
      <c r="V101" s="976"/>
      <c r="W101" s="976"/>
      <c r="X101" s="976"/>
      <c r="Y101" s="976"/>
      <c r="Z101" s="976"/>
    </row>
    <row r="102" spans="1:26" ht="15" x14ac:dyDescent="0.25">
      <c r="A102" s="976"/>
      <c r="B102" s="976"/>
      <c r="C102" s="976"/>
      <c r="D102" s="976"/>
      <c r="E102" s="976"/>
      <c r="F102" s="976"/>
      <c r="G102" s="976"/>
      <c r="H102" s="976"/>
      <c r="I102" s="976"/>
      <c r="J102" s="976"/>
      <c r="K102" s="976"/>
      <c r="L102" s="976"/>
      <c r="M102" s="976"/>
      <c r="N102" s="976"/>
      <c r="O102" s="976"/>
      <c r="P102" s="976"/>
      <c r="Q102" s="976"/>
      <c r="R102" s="976"/>
      <c r="S102" s="976"/>
      <c r="T102" s="976"/>
      <c r="U102" s="976"/>
      <c r="V102" s="976"/>
      <c r="W102" s="976"/>
      <c r="X102" s="976"/>
      <c r="Y102" s="976"/>
      <c r="Z102" s="976"/>
    </row>
    <row r="103" spans="1:26" ht="15" x14ac:dyDescent="0.25">
      <c r="A103" s="976"/>
      <c r="B103" s="976"/>
      <c r="C103" s="976"/>
      <c r="D103" s="976"/>
      <c r="E103" s="976"/>
      <c r="F103" s="976"/>
      <c r="G103" s="976"/>
      <c r="H103" s="976"/>
      <c r="I103" s="976"/>
      <c r="J103" s="976"/>
      <c r="K103" s="976"/>
      <c r="L103" s="976"/>
      <c r="M103" s="976"/>
      <c r="N103" s="976"/>
      <c r="O103" s="976"/>
      <c r="P103" s="976"/>
      <c r="Q103" s="976"/>
      <c r="R103" s="976"/>
      <c r="S103" s="976"/>
      <c r="T103" s="976"/>
      <c r="U103" s="976"/>
      <c r="V103" s="976"/>
      <c r="W103" s="976"/>
      <c r="X103" s="976"/>
      <c r="Y103" s="976"/>
      <c r="Z103" s="976"/>
    </row>
    <row r="104" spans="1:26" ht="15" x14ac:dyDescent="0.25">
      <c r="A104" s="976"/>
      <c r="B104" s="976"/>
      <c r="C104" s="976"/>
      <c r="D104" s="976"/>
      <c r="E104" s="976"/>
      <c r="F104" s="976"/>
      <c r="G104" s="976"/>
      <c r="H104" s="976"/>
      <c r="I104" s="976"/>
      <c r="J104" s="976"/>
      <c r="K104" s="976"/>
      <c r="L104" s="976"/>
      <c r="M104" s="976"/>
      <c r="N104" s="976"/>
      <c r="O104" s="976"/>
      <c r="P104" s="976"/>
      <c r="Q104" s="976"/>
      <c r="R104" s="976"/>
      <c r="S104" s="976"/>
      <c r="T104" s="976"/>
      <c r="U104" s="976"/>
      <c r="V104" s="976"/>
      <c r="W104" s="976"/>
      <c r="X104" s="976"/>
      <c r="Y104" s="976"/>
      <c r="Z104" s="976"/>
    </row>
    <row r="105" spans="1:26" ht="15" x14ac:dyDescent="0.25">
      <c r="A105" s="976"/>
      <c r="B105" s="976"/>
      <c r="C105" s="976"/>
      <c r="D105" s="976"/>
      <c r="E105" s="976"/>
      <c r="F105" s="976"/>
      <c r="G105" s="976"/>
      <c r="H105" s="976"/>
      <c r="I105" s="976"/>
      <c r="J105" s="976"/>
      <c r="K105" s="976"/>
      <c r="L105" s="976"/>
      <c r="M105" s="976"/>
      <c r="N105" s="976"/>
      <c r="O105" s="976"/>
      <c r="P105" s="976"/>
      <c r="Q105" s="976"/>
      <c r="R105" s="976"/>
      <c r="S105" s="976"/>
      <c r="T105" s="976"/>
      <c r="U105" s="976"/>
      <c r="V105" s="976"/>
      <c r="W105" s="976"/>
      <c r="X105" s="976"/>
      <c r="Y105" s="976"/>
      <c r="Z105" s="976"/>
    </row>
    <row r="106" spans="1:26" ht="15" x14ac:dyDescent="0.25">
      <c r="A106" s="976"/>
      <c r="B106" s="976"/>
      <c r="C106" s="976"/>
      <c r="D106" s="976"/>
      <c r="E106" s="976"/>
      <c r="F106" s="976"/>
      <c r="G106" s="976"/>
      <c r="H106" s="976"/>
      <c r="I106" s="976"/>
      <c r="J106" s="976"/>
      <c r="K106" s="976"/>
      <c r="L106" s="976"/>
      <c r="M106" s="976"/>
      <c r="N106" s="976"/>
      <c r="O106" s="976"/>
      <c r="P106" s="976"/>
      <c r="Q106" s="976"/>
      <c r="R106" s="976"/>
      <c r="S106" s="976"/>
      <c r="T106" s="976"/>
      <c r="U106" s="976"/>
      <c r="V106" s="976"/>
      <c r="W106" s="976"/>
      <c r="X106" s="976"/>
      <c r="Y106" s="976"/>
      <c r="Z106" s="976"/>
    </row>
    <row r="107" spans="1:26" ht="15" x14ac:dyDescent="0.25">
      <c r="A107" s="976"/>
      <c r="B107" s="976"/>
      <c r="C107" s="976"/>
      <c r="D107" s="976"/>
      <c r="E107" s="976"/>
      <c r="F107" s="976"/>
      <c r="G107" s="976"/>
      <c r="H107" s="976"/>
      <c r="I107" s="976"/>
      <c r="J107" s="976"/>
      <c r="K107" s="976"/>
      <c r="L107" s="976"/>
      <c r="M107" s="976"/>
      <c r="N107" s="976"/>
      <c r="O107" s="976"/>
      <c r="P107" s="976"/>
      <c r="Q107" s="976"/>
      <c r="R107" s="976"/>
      <c r="S107" s="976"/>
      <c r="T107" s="976"/>
      <c r="U107" s="976"/>
      <c r="V107" s="976"/>
      <c r="W107" s="976"/>
      <c r="X107" s="976"/>
      <c r="Y107" s="976"/>
      <c r="Z107" s="976"/>
    </row>
    <row r="108" spans="1:26" ht="15" x14ac:dyDescent="0.25">
      <c r="A108" s="976"/>
      <c r="B108" s="976"/>
      <c r="C108" s="976"/>
      <c r="D108" s="976"/>
      <c r="E108" s="976"/>
      <c r="F108" s="976"/>
      <c r="G108" s="976"/>
      <c r="H108" s="976"/>
      <c r="I108" s="976"/>
      <c r="J108" s="976"/>
      <c r="K108" s="976"/>
      <c r="L108" s="976"/>
      <c r="M108" s="976"/>
      <c r="N108" s="976"/>
      <c r="O108" s="976"/>
      <c r="P108" s="976"/>
      <c r="Q108" s="976"/>
      <c r="R108" s="976"/>
      <c r="S108" s="976"/>
      <c r="T108" s="976"/>
      <c r="U108" s="976"/>
      <c r="V108" s="976"/>
      <c r="W108" s="976"/>
      <c r="X108" s="976"/>
      <c r="Y108" s="976"/>
      <c r="Z108" s="976"/>
    </row>
    <row r="109" spans="1:26" ht="15" x14ac:dyDescent="0.25">
      <c r="A109" s="976"/>
      <c r="B109" s="976"/>
      <c r="C109" s="976"/>
      <c r="D109" s="976"/>
      <c r="E109" s="976"/>
      <c r="F109" s="976"/>
      <c r="G109" s="976"/>
      <c r="H109" s="976"/>
      <c r="I109" s="976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6"/>
    </row>
    <row r="110" spans="1:26" ht="15" x14ac:dyDescent="0.25">
      <c r="A110" s="976"/>
      <c r="B110" s="976"/>
      <c r="C110" s="976"/>
      <c r="D110" s="976"/>
      <c r="E110" s="976"/>
      <c r="F110" s="976"/>
      <c r="G110" s="976"/>
      <c r="H110" s="976"/>
      <c r="I110" s="976"/>
      <c r="J110" s="976"/>
      <c r="K110" s="976"/>
      <c r="L110" s="976"/>
      <c r="M110" s="976"/>
      <c r="N110" s="976"/>
      <c r="O110" s="976"/>
      <c r="P110" s="976"/>
      <c r="Q110" s="976"/>
      <c r="R110" s="976"/>
      <c r="S110" s="976"/>
      <c r="T110" s="976"/>
      <c r="U110" s="976"/>
      <c r="V110" s="976"/>
      <c r="W110" s="976"/>
      <c r="X110" s="976"/>
      <c r="Y110" s="976"/>
      <c r="Z110" s="976"/>
    </row>
    <row r="111" spans="1:26" ht="15" x14ac:dyDescent="0.25">
      <c r="A111" s="976"/>
      <c r="B111" s="976"/>
      <c r="C111" s="976"/>
      <c r="D111" s="976"/>
      <c r="E111" s="976"/>
      <c r="F111" s="976"/>
      <c r="G111" s="976"/>
      <c r="H111" s="976"/>
      <c r="I111" s="976"/>
      <c r="J111" s="976"/>
      <c r="K111" s="976"/>
      <c r="L111" s="976"/>
      <c r="M111" s="976"/>
      <c r="N111" s="976"/>
      <c r="O111" s="976"/>
      <c r="P111" s="976"/>
      <c r="Q111" s="976"/>
      <c r="R111" s="976"/>
      <c r="S111" s="976"/>
      <c r="T111" s="976"/>
      <c r="U111" s="976"/>
      <c r="V111" s="976"/>
      <c r="W111" s="976"/>
      <c r="X111" s="976"/>
      <c r="Y111" s="976"/>
      <c r="Z111" s="976"/>
    </row>
    <row r="112" spans="1:26" ht="15" x14ac:dyDescent="0.25">
      <c r="A112" s="976"/>
      <c r="B112" s="976"/>
      <c r="C112" s="976"/>
      <c r="D112" s="976"/>
      <c r="E112" s="976"/>
      <c r="F112" s="976"/>
      <c r="G112" s="976"/>
      <c r="H112" s="976"/>
      <c r="I112" s="976"/>
      <c r="J112" s="976"/>
      <c r="K112" s="976"/>
      <c r="L112" s="976"/>
      <c r="M112" s="976"/>
      <c r="N112" s="976"/>
      <c r="O112" s="976"/>
      <c r="P112" s="976"/>
      <c r="Q112" s="976"/>
      <c r="R112" s="976"/>
      <c r="S112" s="976"/>
      <c r="T112" s="976"/>
      <c r="U112" s="976"/>
      <c r="V112" s="976"/>
      <c r="W112" s="976"/>
      <c r="X112" s="976"/>
      <c r="Y112" s="976"/>
      <c r="Z112" s="976"/>
    </row>
    <row r="113" spans="1:26" ht="15" x14ac:dyDescent="0.25">
      <c r="A113" s="976"/>
      <c r="B113" s="976"/>
      <c r="C113" s="976"/>
      <c r="D113" s="976"/>
      <c r="E113" s="976"/>
      <c r="F113" s="976"/>
      <c r="G113" s="976"/>
      <c r="H113" s="976"/>
      <c r="I113" s="976"/>
      <c r="J113" s="976"/>
      <c r="K113" s="976"/>
      <c r="L113" s="976"/>
      <c r="M113" s="976"/>
      <c r="N113" s="976"/>
      <c r="O113" s="976"/>
      <c r="P113" s="976"/>
      <c r="Q113" s="976"/>
      <c r="R113" s="976"/>
      <c r="S113" s="976"/>
      <c r="T113" s="976"/>
      <c r="U113" s="976"/>
      <c r="V113" s="976"/>
      <c r="W113" s="976"/>
      <c r="X113" s="976"/>
      <c r="Y113" s="976"/>
      <c r="Z113" s="976"/>
    </row>
    <row r="114" spans="1:26" ht="15" x14ac:dyDescent="0.25">
      <c r="A114" s="976"/>
      <c r="B114" s="976"/>
      <c r="C114" s="976"/>
      <c r="D114" s="976"/>
      <c r="E114" s="976"/>
      <c r="F114" s="976"/>
      <c r="G114" s="976"/>
      <c r="H114" s="976"/>
      <c r="I114" s="976"/>
      <c r="J114" s="976"/>
      <c r="K114" s="976"/>
      <c r="L114" s="976"/>
      <c r="M114" s="976"/>
      <c r="N114" s="976"/>
      <c r="O114" s="976"/>
      <c r="P114" s="976"/>
      <c r="Q114" s="976"/>
      <c r="R114" s="976"/>
      <c r="S114" s="976"/>
      <c r="T114" s="976"/>
      <c r="U114" s="976"/>
      <c r="V114" s="976"/>
      <c r="W114" s="976"/>
      <c r="X114" s="976"/>
      <c r="Y114" s="976"/>
      <c r="Z114" s="976"/>
    </row>
    <row r="115" spans="1:26" ht="15" x14ac:dyDescent="0.25">
      <c r="A115" s="976"/>
      <c r="B115" s="976"/>
      <c r="C115" s="976"/>
      <c r="D115" s="976"/>
      <c r="E115" s="976"/>
      <c r="F115" s="976"/>
      <c r="G115" s="976"/>
      <c r="H115" s="976"/>
      <c r="I115" s="976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6"/>
    </row>
    <row r="116" spans="1:26" ht="15" x14ac:dyDescent="0.25">
      <c r="A116" s="976"/>
      <c r="B116" s="976"/>
      <c r="C116" s="976"/>
      <c r="D116" s="976"/>
      <c r="E116" s="976"/>
      <c r="F116" s="976"/>
      <c r="G116" s="976"/>
      <c r="H116" s="976"/>
      <c r="I116" s="976"/>
      <c r="J116" s="976"/>
      <c r="K116" s="976"/>
      <c r="L116" s="976"/>
      <c r="M116" s="976"/>
      <c r="N116" s="976"/>
      <c r="O116" s="976"/>
      <c r="P116" s="976"/>
      <c r="Q116" s="976"/>
      <c r="R116" s="976"/>
      <c r="S116" s="976"/>
      <c r="T116" s="976"/>
      <c r="U116" s="976"/>
      <c r="V116" s="976"/>
      <c r="W116" s="976"/>
      <c r="X116" s="976"/>
      <c r="Y116" s="976"/>
      <c r="Z116" s="976"/>
    </row>
    <row r="117" spans="1:26" ht="15" x14ac:dyDescent="0.25">
      <c r="A117" s="976"/>
      <c r="B117" s="976"/>
      <c r="C117" s="976"/>
      <c r="D117" s="976"/>
      <c r="E117" s="976"/>
      <c r="F117" s="976"/>
      <c r="G117" s="976"/>
      <c r="H117" s="976"/>
      <c r="I117" s="976"/>
      <c r="J117" s="976"/>
      <c r="K117" s="976"/>
      <c r="L117" s="976"/>
      <c r="M117" s="976"/>
      <c r="N117" s="976"/>
      <c r="O117" s="976"/>
      <c r="P117" s="976"/>
      <c r="Q117" s="976"/>
      <c r="R117" s="976"/>
      <c r="S117" s="976"/>
      <c r="T117" s="976"/>
      <c r="U117" s="976"/>
      <c r="V117" s="976"/>
      <c r="W117" s="976"/>
      <c r="X117" s="976"/>
      <c r="Y117" s="976"/>
      <c r="Z117" s="976"/>
    </row>
    <row r="118" spans="1:26" ht="15" x14ac:dyDescent="0.25">
      <c r="A118" s="976"/>
      <c r="B118" s="976"/>
      <c r="C118" s="976"/>
      <c r="D118" s="976"/>
      <c r="E118" s="976"/>
      <c r="F118" s="976"/>
      <c r="G118" s="976"/>
      <c r="H118" s="976"/>
      <c r="I118" s="976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6"/>
    </row>
    <row r="119" spans="1:26" ht="15" x14ac:dyDescent="0.25">
      <c r="A119" s="976"/>
      <c r="B119" s="976"/>
      <c r="C119" s="976"/>
      <c r="D119" s="976"/>
      <c r="E119" s="976"/>
      <c r="F119" s="976"/>
      <c r="G119" s="976"/>
      <c r="H119" s="976"/>
      <c r="I119" s="976"/>
      <c r="J119" s="976"/>
      <c r="K119" s="976"/>
      <c r="L119" s="976"/>
      <c r="M119" s="976"/>
      <c r="N119" s="976"/>
      <c r="O119" s="976"/>
      <c r="P119" s="976"/>
      <c r="Q119" s="976"/>
      <c r="R119" s="976"/>
      <c r="S119" s="976"/>
      <c r="T119" s="976"/>
      <c r="U119" s="976"/>
      <c r="V119" s="976"/>
      <c r="W119" s="976"/>
      <c r="X119" s="976"/>
      <c r="Y119" s="976"/>
      <c r="Z119" s="976"/>
    </row>
    <row r="120" spans="1:26" ht="15" x14ac:dyDescent="0.25">
      <c r="A120" s="976"/>
      <c r="B120" s="976"/>
      <c r="C120" s="976"/>
      <c r="D120" s="976"/>
      <c r="E120" s="976"/>
      <c r="F120" s="976"/>
      <c r="G120" s="976"/>
      <c r="H120" s="976"/>
      <c r="I120" s="976"/>
      <c r="J120" s="976"/>
      <c r="K120" s="976"/>
      <c r="L120" s="976"/>
      <c r="M120" s="976"/>
      <c r="N120" s="976"/>
      <c r="O120" s="976"/>
      <c r="P120" s="976"/>
      <c r="Q120" s="976"/>
      <c r="R120" s="976"/>
      <c r="S120" s="976"/>
      <c r="T120" s="976"/>
      <c r="U120" s="976"/>
      <c r="V120" s="976"/>
      <c r="W120" s="976"/>
      <c r="X120" s="976"/>
      <c r="Y120" s="976"/>
      <c r="Z120" s="976"/>
    </row>
    <row r="121" spans="1:26" ht="15" x14ac:dyDescent="0.25">
      <c r="A121" s="976"/>
      <c r="B121" s="976"/>
      <c r="C121" s="976"/>
      <c r="D121" s="976"/>
      <c r="E121" s="976"/>
      <c r="F121" s="976"/>
      <c r="G121" s="976"/>
      <c r="H121" s="976"/>
      <c r="I121" s="976"/>
      <c r="J121" s="976"/>
      <c r="K121" s="976"/>
      <c r="L121" s="976"/>
      <c r="M121" s="976"/>
      <c r="N121" s="976"/>
      <c r="O121" s="976"/>
      <c r="P121" s="976"/>
      <c r="Q121" s="976"/>
      <c r="R121" s="976"/>
      <c r="S121" s="976"/>
      <c r="T121" s="976"/>
      <c r="U121" s="976"/>
      <c r="V121" s="976"/>
      <c r="W121" s="976"/>
      <c r="X121" s="976"/>
      <c r="Y121" s="976"/>
      <c r="Z121" s="976"/>
    </row>
    <row r="122" spans="1:26" ht="15" x14ac:dyDescent="0.25">
      <c r="A122" s="976"/>
      <c r="B122" s="976"/>
      <c r="C122" s="976"/>
      <c r="D122" s="976"/>
      <c r="E122" s="976"/>
      <c r="F122" s="976"/>
      <c r="G122" s="976"/>
      <c r="H122" s="976"/>
      <c r="I122" s="976"/>
      <c r="J122" s="976"/>
      <c r="K122" s="976"/>
      <c r="L122" s="976"/>
      <c r="M122" s="976"/>
      <c r="N122" s="976"/>
      <c r="O122" s="976"/>
      <c r="P122" s="976"/>
      <c r="Q122" s="976"/>
      <c r="R122" s="976"/>
      <c r="S122" s="976"/>
      <c r="T122" s="976"/>
      <c r="U122" s="976"/>
      <c r="V122" s="976"/>
      <c r="W122" s="976"/>
      <c r="X122" s="976"/>
      <c r="Y122" s="976"/>
      <c r="Z122" s="976"/>
    </row>
    <row r="123" spans="1:26" ht="15" x14ac:dyDescent="0.25">
      <c r="A123" s="976"/>
      <c r="B123" s="976"/>
      <c r="C123" s="976"/>
      <c r="D123" s="976"/>
      <c r="E123" s="976"/>
      <c r="F123" s="976"/>
      <c r="G123" s="976"/>
      <c r="H123" s="976"/>
      <c r="I123" s="976"/>
      <c r="J123" s="976"/>
      <c r="K123" s="976"/>
      <c r="L123" s="976"/>
      <c r="M123" s="976"/>
      <c r="N123" s="976"/>
      <c r="O123" s="976"/>
      <c r="P123" s="976"/>
      <c r="Q123" s="976"/>
      <c r="R123" s="976"/>
      <c r="S123" s="976"/>
      <c r="T123" s="976"/>
      <c r="U123" s="976"/>
      <c r="V123" s="976"/>
      <c r="W123" s="976"/>
      <c r="X123" s="976"/>
      <c r="Y123" s="976"/>
      <c r="Z123" s="976"/>
    </row>
    <row r="124" spans="1:26" ht="15" x14ac:dyDescent="0.25">
      <c r="A124" s="976"/>
      <c r="B124" s="976"/>
      <c r="C124" s="976"/>
      <c r="D124" s="976"/>
      <c r="E124" s="976"/>
      <c r="F124" s="976"/>
      <c r="G124" s="976"/>
      <c r="H124" s="976"/>
      <c r="I124" s="976"/>
      <c r="J124" s="976"/>
      <c r="K124" s="976"/>
      <c r="L124" s="976"/>
      <c r="M124" s="976"/>
      <c r="N124" s="976"/>
      <c r="O124" s="976"/>
      <c r="P124" s="976"/>
      <c r="Q124" s="976"/>
      <c r="R124" s="976"/>
      <c r="S124" s="976"/>
      <c r="T124" s="976"/>
      <c r="U124" s="976"/>
      <c r="V124" s="976"/>
      <c r="W124" s="976"/>
      <c r="X124" s="976"/>
      <c r="Y124" s="976"/>
      <c r="Z124" s="976"/>
    </row>
    <row r="125" spans="1:26" ht="15" x14ac:dyDescent="0.25">
      <c r="A125" s="976"/>
      <c r="B125" s="976"/>
      <c r="C125" s="976"/>
      <c r="D125" s="976"/>
      <c r="E125" s="976"/>
      <c r="F125" s="976"/>
      <c r="G125" s="976"/>
      <c r="H125" s="976"/>
      <c r="I125" s="976"/>
      <c r="J125" s="976"/>
      <c r="K125" s="976"/>
      <c r="L125" s="976"/>
      <c r="M125" s="976"/>
      <c r="N125" s="976"/>
      <c r="O125" s="976"/>
      <c r="P125" s="976"/>
      <c r="Q125" s="976"/>
      <c r="R125" s="976"/>
      <c r="S125" s="976"/>
      <c r="T125" s="976"/>
      <c r="U125" s="976"/>
      <c r="V125" s="976"/>
      <c r="W125" s="976"/>
      <c r="X125" s="976"/>
      <c r="Y125" s="976"/>
      <c r="Z125" s="976"/>
    </row>
    <row r="126" spans="1:26" ht="15" x14ac:dyDescent="0.25">
      <c r="A126" s="976"/>
      <c r="B126" s="976"/>
      <c r="C126" s="976"/>
      <c r="D126" s="976"/>
      <c r="E126" s="976"/>
      <c r="F126" s="976"/>
      <c r="G126" s="976"/>
      <c r="H126" s="976"/>
      <c r="I126" s="976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6"/>
    </row>
    <row r="127" spans="1:26" ht="15" x14ac:dyDescent="0.25">
      <c r="A127" s="976"/>
      <c r="B127" s="976"/>
      <c r="C127" s="976"/>
      <c r="D127" s="976"/>
      <c r="E127" s="976"/>
      <c r="F127" s="976"/>
      <c r="G127" s="976"/>
      <c r="H127" s="976"/>
      <c r="I127" s="976"/>
      <c r="J127" s="976"/>
      <c r="K127" s="976"/>
      <c r="L127" s="976"/>
      <c r="M127" s="976"/>
      <c r="N127" s="976"/>
      <c r="O127" s="976"/>
      <c r="P127" s="976"/>
      <c r="Q127" s="976"/>
      <c r="R127" s="976"/>
      <c r="S127" s="976"/>
      <c r="T127" s="976"/>
      <c r="U127" s="976"/>
      <c r="V127" s="976"/>
      <c r="W127" s="976"/>
      <c r="X127" s="976"/>
      <c r="Y127" s="976"/>
      <c r="Z127" s="976"/>
    </row>
    <row r="128" spans="1:26" ht="15" x14ac:dyDescent="0.25">
      <c r="A128" s="976"/>
      <c r="B128" s="976"/>
      <c r="C128" s="976"/>
      <c r="D128" s="976"/>
      <c r="E128" s="976"/>
      <c r="F128" s="976"/>
      <c r="G128" s="976"/>
      <c r="H128" s="976"/>
      <c r="I128" s="976"/>
      <c r="J128" s="976"/>
      <c r="K128" s="976"/>
      <c r="L128" s="976"/>
      <c r="M128" s="976"/>
      <c r="N128" s="976"/>
      <c r="O128" s="976"/>
      <c r="P128" s="976"/>
      <c r="Q128" s="976"/>
      <c r="R128" s="976"/>
      <c r="S128" s="976"/>
      <c r="T128" s="976"/>
      <c r="U128" s="976"/>
      <c r="V128" s="976"/>
      <c r="W128" s="976"/>
      <c r="X128" s="976"/>
      <c r="Y128" s="976"/>
      <c r="Z128" s="976"/>
    </row>
    <row r="129" spans="1:26" ht="15" x14ac:dyDescent="0.25">
      <c r="A129" s="976"/>
      <c r="B129" s="976"/>
      <c r="C129" s="976"/>
      <c r="D129" s="976"/>
      <c r="E129" s="976"/>
      <c r="F129" s="976"/>
      <c r="G129" s="976"/>
      <c r="H129" s="976"/>
      <c r="I129" s="976"/>
      <c r="J129" s="976"/>
      <c r="K129" s="976"/>
      <c r="L129" s="976"/>
      <c r="M129" s="976"/>
      <c r="N129" s="976"/>
      <c r="O129" s="976"/>
      <c r="P129" s="976"/>
      <c r="Q129" s="976"/>
      <c r="R129" s="976"/>
      <c r="S129" s="976"/>
      <c r="T129" s="976"/>
      <c r="U129" s="976"/>
      <c r="V129" s="976"/>
      <c r="W129" s="976"/>
      <c r="X129" s="976"/>
      <c r="Y129" s="976"/>
      <c r="Z129" s="976"/>
    </row>
    <row r="130" spans="1:26" ht="15" x14ac:dyDescent="0.25">
      <c r="A130" s="976"/>
      <c r="B130" s="976"/>
      <c r="C130" s="976"/>
      <c r="D130" s="976"/>
      <c r="E130" s="976"/>
      <c r="F130" s="976"/>
      <c r="G130" s="976"/>
      <c r="H130" s="976"/>
      <c r="I130" s="976"/>
      <c r="J130" s="976"/>
      <c r="K130" s="976"/>
      <c r="L130" s="976"/>
      <c r="M130" s="976"/>
      <c r="N130" s="976"/>
      <c r="O130" s="976"/>
      <c r="P130" s="976"/>
      <c r="Q130" s="976"/>
      <c r="R130" s="976"/>
      <c r="S130" s="976"/>
      <c r="T130" s="976"/>
      <c r="U130" s="976"/>
      <c r="V130" s="976"/>
      <c r="W130" s="976"/>
      <c r="X130" s="976"/>
      <c r="Y130" s="976"/>
      <c r="Z130" s="976"/>
    </row>
    <row r="131" spans="1:26" ht="15" x14ac:dyDescent="0.25">
      <c r="A131" s="976"/>
      <c r="B131" s="976"/>
      <c r="C131" s="976"/>
      <c r="D131" s="976"/>
      <c r="E131" s="976"/>
      <c r="F131" s="976"/>
      <c r="G131" s="976"/>
      <c r="H131" s="976"/>
      <c r="I131" s="976"/>
      <c r="J131" s="976"/>
      <c r="K131" s="976"/>
      <c r="L131" s="976"/>
      <c r="M131" s="976"/>
      <c r="N131" s="976"/>
      <c r="O131" s="976"/>
      <c r="P131" s="976"/>
      <c r="Q131" s="976"/>
      <c r="R131" s="976"/>
      <c r="S131" s="976"/>
      <c r="T131" s="976"/>
      <c r="U131" s="976"/>
      <c r="V131" s="976"/>
      <c r="W131" s="976"/>
      <c r="X131" s="976"/>
      <c r="Y131" s="976"/>
      <c r="Z131" s="976"/>
    </row>
    <row r="132" spans="1:26" ht="15" x14ac:dyDescent="0.25">
      <c r="A132" s="976"/>
      <c r="B132" s="976"/>
      <c r="C132" s="976"/>
      <c r="D132" s="976"/>
      <c r="E132" s="976"/>
      <c r="F132" s="976"/>
      <c r="G132" s="976"/>
      <c r="H132" s="976"/>
      <c r="I132" s="976"/>
      <c r="J132" s="976"/>
      <c r="K132" s="976"/>
      <c r="L132" s="976"/>
      <c r="M132" s="976"/>
      <c r="N132" s="976"/>
      <c r="O132" s="976"/>
      <c r="P132" s="976"/>
      <c r="Q132" s="976"/>
      <c r="R132" s="976"/>
      <c r="S132" s="976"/>
      <c r="T132" s="976"/>
      <c r="U132" s="976"/>
      <c r="V132" s="976"/>
      <c r="W132" s="976"/>
      <c r="X132" s="976"/>
      <c r="Y132" s="976"/>
      <c r="Z132" s="976"/>
    </row>
    <row r="133" spans="1:26" ht="15" x14ac:dyDescent="0.25">
      <c r="A133" s="976"/>
      <c r="B133" s="976"/>
      <c r="C133" s="976"/>
      <c r="D133" s="976"/>
      <c r="E133" s="976"/>
      <c r="F133" s="976"/>
      <c r="G133" s="976"/>
      <c r="H133" s="976"/>
      <c r="I133" s="976"/>
      <c r="J133" s="976"/>
      <c r="K133" s="976"/>
      <c r="L133" s="976"/>
      <c r="M133" s="976"/>
      <c r="N133" s="976"/>
      <c r="O133" s="976"/>
      <c r="P133" s="976"/>
      <c r="Q133" s="976"/>
      <c r="R133" s="976"/>
      <c r="S133" s="976"/>
      <c r="T133" s="976"/>
      <c r="U133" s="976"/>
      <c r="V133" s="976"/>
      <c r="W133" s="976"/>
      <c r="X133" s="976"/>
      <c r="Y133" s="976"/>
      <c r="Z133" s="976"/>
    </row>
    <row r="134" spans="1:26" ht="15" x14ac:dyDescent="0.25">
      <c r="A134" s="976"/>
      <c r="B134" s="976"/>
      <c r="C134" s="976"/>
      <c r="D134" s="976"/>
      <c r="E134" s="976"/>
      <c r="F134" s="976"/>
      <c r="G134" s="976"/>
      <c r="H134" s="976"/>
      <c r="I134" s="976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6"/>
    </row>
    <row r="135" spans="1:26" ht="15" x14ac:dyDescent="0.25">
      <c r="A135" s="976"/>
      <c r="B135" s="976"/>
      <c r="C135" s="976"/>
      <c r="D135" s="976"/>
      <c r="E135" s="976"/>
      <c r="F135" s="976"/>
      <c r="G135" s="976"/>
      <c r="H135" s="976"/>
      <c r="I135" s="976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/>
      <c r="U135" s="976"/>
      <c r="V135" s="976"/>
      <c r="W135" s="976"/>
      <c r="X135" s="976"/>
      <c r="Y135" s="976"/>
      <c r="Z135" s="976"/>
    </row>
    <row r="136" spans="1:26" ht="15" x14ac:dyDescent="0.25">
      <c r="A136" s="976"/>
      <c r="B136" s="976"/>
      <c r="C136" s="976"/>
      <c r="D136" s="976"/>
      <c r="E136" s="976"/>
      <c r="F136" s="976"/>
      <c r="G136" s="976"/>
      <c r="H136" s="976"/>
      <c r="I136" s="976"/>
      <c r="J136" s="976"/>
      <c r="K136" s="976"/>
      <c r="L136" s="976"/>
      <c r="M136" s="976"/>
      <c r="N136" s="976"/>
      <c r="O136" s="976"/>
      <c r="P136" s="976"/>
      <c r="Q136" s="976"/>
      <c r="R136" s="976"/>
      <c r="S136" s="976"/>
      <c r="T136" s="976"/>
      <c r="U136" s="976"/>
      <c r="V136" s="976"/>
      <c r="W136" s="976"/>
      <c r="X136" s="976"/>
      <c r="Y136" s="976"/>
      <c r="Z136" s="976"/>
    </row>
    <row r="137" spans="1:26" ht="15" x14ac:dyDescent="0.25">
      <c r="A137" s="976"/>
      <c r="B137" s="976"/>
      <c r="C137" s="976"/>
      <c r="D137" s="976"/>
      <c r="E137" s="976"/>
      <c r="F137" s="976"/>
      <c r="G137" s="976"/>
      <c r="H137" s="976"/>
      <c r="I137" s="976"/>
      <c r="J137" s="976"/>
      <c r="K137" s="976"/>
      <c r="L137" s="976"/>
      <c r="M137" s="976"/>
      <c r="N137" s="976"/>
      <c r="O137" s="976"/>
      <c r="P137" s="976"/>
      <c r="Q137" s="976"/>
      <c r="R137" s="976"/>
      <c r="S137" s="976"/>
      <c r="T137" s="976"/>
      <c r="U137" s="976"/>
      <c r="V137" s="976"/>
      <c r="W137" s="976"/>
      <c r="X137" s="976"/>
      <c r="Y137" s="976"/>
      <c r="Z137" s="976"/>
    </row>
    <row r="138" spans="1:26" ht="15" x14ac:dyDescent="0.25">
      <c r="A138" s="976"/>
      <c r="B138" s="976"/>
      <c r="C138" s="976"/>
      <c r="D138" s="976"/>
      <c r="E138" s="976"/>
      <c r="F138" s="976"/>
      <c r="G138" s="976"/>
      <c r="H138" s="976"/>
      <c r="I138" s="976"/>
      <c r="J138" s="976"/>
      <c r="K138" s="976"/>
      <c r="L138" s="976"/>
      <c r="M138" s="976"/>
      <c r="N138" s="976"/>
      <c r="O138" s="976"/>
      <c r="P138" s="976"/>
      <c r="Q138" s="976"/>
      <c r="R138" s="976"/>
      <c r="S138" s="976"/>
      <c r="T138" s="976"/>
      <c r="U138" s="976"/>
      <c r="V138" s="976"/>
      <c r="W138" s="976"/>
      <c r="X138" s="976"/>
      <c r="Y138" s="976"/>
      <c r="Z138" s="976"/>
    </row>
    <row r="139" spans="1:26" ht="15" x14ac:dyDescent="0.25">
      <c r="A139" s="976"/>
      <c r="B139" s="976"/>
      <c r="C139" s="976"/>
      <c r="D139" s="976"/>
      <c r="E139" s="976"/>
      <c r="F139" s="976"/>
      <c r="G139" s="976"/>
      <c r="H139" s="976"/>
      <c r="I139" s="976"/>
      <c r="J139" s="976"/>
      <c r="K139" s="976"/>
      <c r="L139" s="976"/>
      <c r="M139" s="976"/>
      <c r="N139" s="976"/>
      <c r="O139" s="976"/>
      <c r="P139" s="976"/>
      <c r="Q139" s="976"/>
      <c r="R139" s="976"/>
      <c r="S139" s="976"/>
      <c r="T139" s="976"/>
      <c r="U139" s="976"/>
      <c r="V139" s="976"/>
      <c r="W139" s="976"/>
      <c r="X139" s="976"/>
      <c r="Y139" s="976"/>
      <c r="Z139" s="976"/>
    </row>
    <row r="140" spans="1:26" ht="15" x14ac:dyDescent="0.25">
      <c r="A140" s="976"/>
      <c r="B140" s="976"/>
      <c r="C140" s="976"/>
      <c r="D140" s="976"/>
      <c r="E140" s="976"/>
      <c r="F140" s="976"/>
      <c r="G140" s="976"/>
      <c r="H140" s="976"/>
      <c r="I140" s="976"/>
      <c r="J140" s="976"/>
      <c r="K140" s="976"/>
      <c r="L140" s="976"/>
      <c r="M140" s="976"/>
      <c r="N140" s="976"/>
      <c r="O140" s="976"/>
      <c r="P140" s="976"/>
      <c r="Q140" s="976"/>
      <c r="R140" s="976"/>
      <c r="S140" s="976"/>
      <c r="T140" s="976"/>
      <c r="U140" s="976"/>
      <c r="V140" s="976"/>
      <c r="W140" s="976"/>
      <c r="X140" s="976"/>
      <c r="Y140" s="976"/>
      <c r="Z140" s="976"/>
    </row>
    <row r="141" spans="1:26" ht="15" x14ac:dyDescent="0.25">
      <c r="A141" s="976"/>
      <c r="B141" s="976"/>
      <c r="C141" s="976"/>
      <c r="D141" s="976"/>
      <c r="E141" s="976"/>
      <c r="F141" s="976"/>
      <c r="G141" s="976"/>
      <c r="H141" s="976"/>
      <c r="I141" s="976"/>
      <c r="J141" s="976"/>
      <c r="K141" s="976"/>
      <c r="L141" s="976"/>
      <c r="M141" s="976"/>
      <c r="N141" s="976"/>
      <c r="O141" s="976"/>
      <c r="P141" s="976"/>
      <c r="Q141" s="976"/>
      <c r="R141" s="976"/>
      <c r="S141" s="976"/>
      <c r="T141" s="976"/>
      <c r="U141" s="976"/>
      <c r="V141" s="976"/>
      <c r="W141" s="976"/>
      <c r="X141" s="976"/>
      <c r="Y141" s="976"/>
      <c r="Z141" s="976"/>
    </row>
    <row r="142" spans="1:26" ht="15" x14ac:dyDescent="0.25">
      <c r="A142" s="976"/>
      <c r="B142" s="976"/>
      <c r="C142" s="976"/>
      <c r="D142" s="976"/>
      <c r="E142" s="976"/>
      <c r="F142" s="976"/>
      <c r="G142" s="976"/>
      <c r="H142" s="976"/>
      <c r="I142" s="976"/>
      <c r="J142" s="976"/>
      <c r="K142" s="976"/>
      <c r="L142" s="976"/>
      <c r="M142" s="976"/>
      <c r="N142" s="976"/>
      <c r="O142" s="976"/>
      <c r="P142" s="976"/>
      <c r="Q142" s="976"/>
      <c r="R142" s="976"/>
      <c r="S142" s="976"/>
      <c r="T142" s="976"/>
      <c r="U142" s="976"/>
      <c r="V142" s="976"/>
      <c r="W142" s="976"/>
      <c r="X142" s="976"/>
      <c r="Y142" s="976"/>
      <c r="Z142" s="976"/>
    </row>
    <row r="143" spans="1:26" ht="15" x14ac:dyDescent="0.25">
      <c r="A143" s="976"/>
      <c r="B143" s="976"/>
      <c r="C143" s="976"/>
      <c r="D143" s="976"/>
      <c r="E143" s="976"/>
      <c r="F143" s="976"/>
      <c r="G143" s="976"/>
      <c r="H143" s="976"/>
      <c r="I143" s="976"/>
      <c r="J143" s="976"/>
      <c r="K143" s="976"/>
      <c r="L143" s="976"/>
      <c r="M143" s="976"/>
      <c r="N143" s="976"/>
      <c r="O143" s="976"/>
      <c r="P143" s="976"/>
      <c r="Q143" s="976"/>
      <c r="R143" s="976"/>
      <c r="S143" s="976"/>
      <c r="T143" s="976"/>
      <c r="U143" s="976"/>
      <c r="V143" s="976"/>
      <c r="W143" s="976"/>
      <c r="X143" s="976"/>
      <c r="Y143" s="976"/>
      <c r="Z143" s="976"/>
    </row>
    <row r="144" spans="1:26" ht="15" x14ac:dyDescent="0.25">
      <c r="A144" s="976"/>
      <c r="B144" s="976"/>
      <c r="C144" s="976"/>
      <c r="D144" s="976"/>
      <c r="E144" s="976"/>
      <c r="F144" s="976"/>
      <c r="G144" s="976"/>
      <c r="H144" s="976"/>
      <c r="I144" s="976"/>
      <c r="J144" s="976"/>
      <c r="K144" s="976"/>
      <c r="L144" s="976"/>
      <c r="M144" s="976"/>
      <c r="N144" s="976"/>
      <c r="O144" s="976"/>
      <c r="P144" s="976"/>
      <c r="Q144" s="976"/>
      <c r="R144" s="976"/>
      <c r="S144" s="976"/>
      <c r="T144" s="976"/>
      <c r="U144" s="976"/>
      <c r="V144" s="976"/>
      <c r="W144" s="976"/>
      <c r="X144" s="976"/>
      <c r="Y144" s="976"/>
      <c r="Z144" s="976"/>
    </row>
    <row r="145" spans="1:26" ht="15" x14ac:dyDescent="0.25">
      <c r="A145" s="976"/>
      <c r="B145" s="976"/>
      <c r="C145" s="976"/>
      <c r="D145" s="976"/>
      <c r="E145" s="976"/>
      <c r="F145" s="976"/>
      <c r="G145" s="976"/>
      <c r="H145" s="976"/>
      <c r="I145" s="976"/>
      <c r="J145" s="976"/>
      <c r="K145" s="976"/>
      <c r="L145" s="976"/>
      <c r="M145" s="976"/>
      <c r="N145" s="976"/>
      <c r="O145" s="976"/>
      <c r="P145" s="976"/>
      <c r="Q145" s="976"/>
      <c r="R145" s="976"/>
      <c r="S145" s="976"/>
      <c r="T145" s="976"/>
      <c r="U145" s="976"/>
      <c r="V145" s="976"/>
      <c r="W145" s="976"/>
      <c r="X145" s="976"/>
      <c r="Y145" s="976"/>
      <c r="Z145" s="976"/>
    </row>
    <row r="146" spans="1:26" ht="15" x14ac:dyDescent="0.25">
      <c r="A146" s="976"/>
      <c r="B146" s="976"/>
      <c r="C146" s="976"/>
      <c r="D146" s="976"/>
      <c r="E146" s="976"/>
      <c r="F146" s="976"/>
      <c r="G146" s="976"/>
      <c r="H146" s="976"/>
      <c r="I146" s="976"/>
      <c r="J146" s="976"/>
      <c r="K146" s="976"/>
      <c r="L146" s="976"/>
      <c r="M146" s="976"/>
      <c r="N146" s="976"/>
      <c r="O146" s="976"/>
      <c r="P146" s="976"/>
      <c r="Q146" s="976"/>
      <c r="R146" s="976"/>
      <c r="S146" s="976"/>
      <c r="T146" s="976"/>
      <c r="U146" s="976"/>
      <c r="V146" s="976"/>
      <c r="W146" s="976"/>
      <c r="X146" s="976"/>
      <c r="Y146" s="976"/>
      <c r="Z146" s="976"/>
    </row>
    <row r="147" spans="1:26" ht="15" x14ac:dyDescent="0.25">
      <c r="A147" s="976"/>
      <c r="B147" s="976"/>
      <c r="C147" s="976"/>
      <c r="D147" s="976"/>
      <c r="E147" s="976"/>
      <c r="F147" s="976"/>
      <c r="G147" s="976"/>
      <c r="H147" s="976"/>
      <c r="I147" s="976"/>
      <c r="J147" s="976"/>
      <c r="K147" s="976"/>
      <c r="L147" s="976"/>
      <c r="M147" s="976"/>
      <c r="N147" s="976"/>
      <c r="O147" s="976"/>
      <c r="P147" s="976"/>
      <c r="Q147" s="976"/>
      <c r="R147" s="976"/>
      <c r="S147" s="976"/>
      <c r="T147" s="976"/>
      <c r="U147" s="976"/>
      <c r="V147" s="976"/>
      <c r="W147" s="976"/>
      <c r="X147" s="976"/>
      <c r="Y147" s="976"/>
      <c r="Z147" s="976"/>
    </row>
    <row r="148" spans="1:26" ht="15" x14ac:dyDescent="0.25">
      <c r="A148" s="976"/>
      <c r="B148" s="976"/>
      <c r="C148" s="976"/>
      <c r="D148" s="976"/>
      <c r="E148" s="976"/>
      <c r="F148" s="976"/>
      <c r="G148" s="976"/>
      <c r="H148" s="976"/>
      <c r="I148" s="976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6"/>
    </row>
    <row r="149" spans="1:26" ht="15" x14ac:dyDescent="0.25">
      <c r="A149" s="976"/>
      <c r="B149" s="976"/>
      <c r="C149" s="976"/>
      <c r="D149" s="976"/>
      <c r="E149" s="976"/>
      <c r="F149" s="976"/>
      <c r="G149" s="976"/>
      <c r="H149" s="976"/>
      <c r="I149" s="976"/>
      <c r="J149" s="976"/>
      <c r="K149" s="976"/>
      <c r="L149" s="976"/>
      <c r="M149" s="976"/>
      <c r="N149" s="976"/>
      <c r="O149" s="976"/>
      <c r="P149" s="976"/>
      <c r="Q149" s="976"/>
      <c r="R149" s="976"/>
      <c r="S149" s="976"/>
      <c r="T149" s="976"/>
      <c r="U149" s="976"/>
      <c r="V149" s="976"/>
      <c r="W149" s="976"/>
      <c r="X149" s="976"/>
      <c r="Y149" s="976"/>
      <c r="Z149" s="976"/>
    </row>
    <row r="150" spans="1:26" ht="15" x14ac:dyDescent="0.25">
      <c r="A150" s="976"/>
      <c r="B150" s="976"/>
      <c r="C150" s="976"/>
      <c r="D150" s="976"/>
      <c r="E150" s="976"/>
      <c r="F150" s="976"/>
      <c r="G150" s="976"/>
      <c r="H150" s="976"/>
      <c r="I150" s="976"/>
      <c r="J150" s="976"/>
      <c r="K150" s="976"/>
      <c r="L150" s="976"/>
      <c r="M150" s="976"/>
      <c r="N150" s="976"/>
      <c r="O150" s="976"/>
      <c r="P150" s="976"/>
      <c r="Q150" s="976"/>
      <c r="R150" s="976"/>
      <c r="S150" s="976"/>
      <c r="T150" s="976"/>
      <c r="U150" s="976"/>
      <c r="V150" s="976"/>
      <c r="W150" s="976"/>
      <c r="X150" s="976"/>
      <c r="Y150" s="976"/>
      <c r="Z150" s="976"/>
    </row>
    <row r="151" spans="1:26" ht="15" x14ac:dyDescent="0.25">
      <c r="A151" s="976"/>
      <c r="B151" s="976"/>
      <c r="C151" s="976"/>
      <c r="D151" s="976"/>
      <c r="E151" s="976"/>
      <c r="F151" s="976"/>
      <c r="G151" s="976"/>
      <c r="H151" s="976"/>
      <c r="I151" s="976"/>
      <c r="J151" s="976"/>
      <c r="K151" s="976"/>
      <c r="L151" s="976"/>
      <c r="M151" s="976"/>
      <c r="N151" s="976"/>
      <c r="O151" s="976"/>
      <c r="P151" s="976"/>
      <c r="Q151" s="976"/>
      <c r="R151" s="976"/>
      <c r="S151" s="976"/>
      <c r="T151" s="976"/>
      <c r="U151" s="976"/>
      <c r="V151" s="976"/>
      <c r="W151" s="976"/>
      <c r="X151" s="976"/>
      <c r="Y151" s="976"/>
      <c r="Z151" s="976"/>
    </row>
    <row r="152" spans="1:26" ht="15" x14ac:dyDescent="0.25">
      <c r="A152" s="976"/>
      <c r="B152" s="976"/>
      <c r="C152" s="976"/>
      <c r="D152" s="976"/>
      <c r="E152" s="976"/>
      <c r="F152" s="976"/>
      <c r="G152" s="976"/>
      <c r="H152" s="976"/>
      <c r="I152" s="976"/>
      <c r="J152" s="976"/>
      <c r="K152" s="976"/>
      <c r="L152" s="976"/>
      <c r="M152" s="976"/>
      <c r="N152" s="976"/>
      <c r="O152" s="976"/>
      <c r="P152" s="976"/>
      <c r="Q152" s="976"/>
      <c r="R152" s="976"/>
      <c r="S152" s="976"/>
      <c r="T152" s="976"/>
      <c r="U152" s="976"/>
      <c r="V152" s="976"/>
      <c r="W152" s="976"/>
      <c r="X152" s="976"/>
      <c r="Y152" s="976"/>
      <c r="Z152" s="976"/>
    </row>
    <row r="153" spans="1:26" ht="15" x14ac:dyDescent="0.25">
      <c r="A153" s="976"/>
      <c r="B153" s="976"/>
      <c r="C153" s="976"/>
      <c r="D153" s="976"/>
      <c r="E153" s="976"/>
      <c r="F153" s="976"/>
      <c r="G153" s="976"/>
      <c r="H153" s="976"/>
      <c r="I153" s="976"/>
      <c r="J153" s="976"/>
      <c r="K153" s="976"/>
      <c r="L153" s="976"/>
      <c r="M153" s="976"/>
      <c r="N153" s="976"/>
      <c r="O153" s="976"/>
      <c r="P153" s="976"/>
      <c r="Q153" s="976"/>
      <c r="R153" s="976"/>
      <c r="S153" s="976"/>
      <c r="T153" s="976"/>
      <c r="U153" s="976"/>
      <c r="V153" s="976"/>
      <c r="W153" s="976"/>
      <c r="X153" s="976"/>
      <c r="Y153" s="976"/>
      <c r="Z153" s="976"/>
    </row>
    <row r="154" spans="1:26" ht="15" x14ac:dyDescent="0.25">
      <c r="A154" s="976"/>
      <c r="B154" s="976"/>
      <c r="C154" s="976"/>
      <c r="D154" s="976"/>
      <c r="E154" s="976"/>
      <c r="F154" s="976"/>
      <c r="G154" s="976"/>
      <c r="H154" s="976"/>
      <c r="I154" s="976"/>
      <c r="J154" s="976"/>
      <c r="K154" s="976"/>
      <c r="L154" s="976"/>
      <c r="M154" s="976"/>
      <c r="N154" s="976"/>
      <c r="O154" s="976"/>
      <c r="P154" s="976"/>
      <c r="Q154" s="976"/>
      <c r="R154" s="976"/>
      <c r="S154" s="976"/>
      <c r="T154" s="976"/>
      <c r="U154" s="976"/>
      <c r="V154" s="976"/>
      <c r="W154" s="976"/>
      <c r="X154" s="976"/>
      <c r="Y154" s="976"/>
      <c r="Z154" s="976"/>
    </row>
    <row r="155" spans="1:26" ht="15" x14ac:dyDescent="0.25">
      <c r="A155" s="976"/>
      <c r="B155" s="976"/>
      <c r="C155" s="976"/>
      <c r="D155" s="976"/>
      <c r="E155" s="976"/>
      <c r="F155" s="976"/>
      <c r="G155" s="976"/>
      <c r="H155" s="976"/>
      <c r="I155" s="976"/>
      <c r="J155" s="976"/>
      <c r="K155" s="976"/>
      <c r="L155" s="976"/>
      <c r="M155" s="976"/>
      <c r="N155" s="976"/>
      <c r="O155" s="976"/>
      <c r="P155" s="976"/>
      <c r="Q155" s="976"/>
      <c r="R155" s="976"/>
      <c r="S155" s="976"/>
      <c r="T155" s="976"/>
      <c r="U155" s="976"/>
      <c r="V155" s="976"/>
      <c r="W155" s="976"/>
      <c r="X155" s="976"/>
      <c r="Y155" s="976"/>
      <c r="Z155" s="976"/>
    </row>
    <row r="156" spans="1:26" ht="15" x14ac:dyDescent="0.25">
      <c r="A156" s="976"/>
      <c r="B156" s="976"/>
      <c r="C156" s="976"/>
      <c r="D156" s="976"/>
      <c r="E156" s="976"/>
      <c r="F156" s="976"/>
      <c r="G156" s="976"/>
      <c r="H156" s="976"/>
      <c r="I156" s="976"/>
      <c r="J156" s="976"/>
      <c r="K156" s="976"/>
      <c r="L156" s="976"/>
      <c r="M156" s="976"/>
      <c r="N156" s="976"/>
      <c r="O156" s="976"/>
      <c r="P156" s="976"/>
      <c r="Q156" s="976"/>
      <c r="R156" s="976"/>
      <c r="S156" s="976"/>
      <c r="T156" s="976"/>
      <c r="U156" s="976"/>
      <c r="V156" s="976"/>
      <c r="W156" s="976"/>
      <c r="X156" s="976"/>
      <c r="Y156" s="976"/>
      <c r="Z156" s="976"/>
    </row>
    <row r="157" spans="1:26" ht="15" x14ac:dyDescent="0.25">
      <c r="A157" s="976"/>
      <c r="B157" s="976"/>
      <c r="C157" s="976"/>
      <c r="D157" s="976"/>
      <c r="E157" s="976"/>
      <c r="F157" s="976"/>
      <c r="G157" s="976"/>
      <c r="H157" s="976"/>
      <c r="I157" s="976"/>
      <c r="J157" s="976"/>
      <c r="K157" s="976"/>
      <c r="L157" s="976"/>
      <c r="M157" s="976"/>
      <c r="N157" s="976"/>
      <c r="O157" s="976"/>
      <c r="P157" s="976"/>
      <c r="Q157" s="976"/>
      <c r="R157" s="976"/>
      <c r="S157" s="976"/>
      <c r="T157" s="976"/>
      <c r="U157" s="976"/>
      <c r="V157" s="976"/>
      <c r="W157" s="976"/>
      <c r="X157" s="976"/>
      <c r="Y157" s="976"/>
      <c r="Z157" s="976"/>
    </row>
    <row r="158" spans="1:26" ht="15" x14ac:dyDescent="0.25">
      <c r="A158" s="976"/>
      <c r="B158" s="976"/>
      <c r="C158" s="976"/>
      <c r="D158" s="976"/>
      <c r="E158" s="976"/>
      <c r="F158" s="976"/>
      <c r="G158" s="976"/>
      <c r="H158" s="976"/>
      <c r="I158" s="976"/>
      <c r="J158" s="976"/>
      <c r="K158" s="976"/>
      <c r="L158" s="976"/>
      <c r="M158" s="976"/>
      <c r="N158" s="976"/>
      <c r="O158" s="976"/>
      <c r="P158" s="976"/>
      <c r="Q158" s="976"/>
      <c r="R158" s="976"/>
      <c r="S158" s="976"/>
      <c r="T158" s="976"/>
      <c r="U158" s="976"/>
      <c r="V158" s="976"/>
      <c r="W158" s="976"/>
      <c r="X158" s="976"/>
      <c r="Y158" s="976"/>
      <c r="Z158" s="976"/>
    </row>
    <row r="159" spans="1:26" ht="15" x14ac:dyDescent="0.25">
      <c r="A159" s="976"/>
      <c r="B159" s="976"/>
      <c r="C159" s="976"/>
      <c r="D159" s="976"/>
      <c r="E159" s="976"/>
      <c r="F159" s="976"/>
      <c r="G159" s="976"/>
      <c r="H159" s="976"/>
      <c r="I159" s="976"/>
      <c r="J159" s="976"/>
      <c r="K159" s="976"/>
      <c r="L159" s="976"/>
      <c r="M159" s="976"/>
      <c r="N159" s="976"/>
      <c r="O159" s="976"/>
      <c r="P159" s="976"/>
      <c r="Q159" s="976"/>
      <c r="R159" s="976"/>
      <c r="S159" s="976"/>
      <c r="T159" s="976"/>
      <c r="U159" s="976"/>
      <c r="V159" s="976"/>
      <c r="W159" s="976"/>
      <c r="X159" s="976"/>
      <c r="Y159" s="976"/>
      <c r="Z159" s="976"/>
    </row>
    <row r="160" spans="1:26" ht="15" x14ac:dyDescent="0.25">
      <c r="A160" s="976"/>
      <c r="B160" s="976"/>
      <c r="C160" s="976"/>
      <c r="D160" s="976"/>
      <c r="E160" s="976"/>
      <c r="F160" s="976"/>
      <c r="G160" s="976"/>
      <c r="H160" s="976"/>
      <c r="I160" s="976"/>
      <c r="J160" s="976"/>
      <c r="K160" s="976"/>
      <c r="L160" s="976"/>
      <c r="M160" s="976"/>
      <c r="N160" s="976"/>
      <c r="O160" s="976"/>
      <c r="P160" s="976"/>
      <c r="Q160" s="976"/>
      <c r="R160" s="976"/>
      <c r="S160" s="976"/>
      <c r="T160" s="976"/>
      <c r="U160" s="976"/>
      <c r="V160" s="976"/>
      <c r="W160" s="976"/>
      <c r="X160" s="976"/>
      <c r="Y160" s="976"/>
      <c r="Z160" s="976"/>
    </row>
    <row r="161" spans="1:26" ht="15" x14ac:dyDescent="0.25">
      <c r="A161" s="976"/>
      <c r="B161" s="976"/>
      <c r="C161" s="976"/>
      <c r="D161" s="976"/>
      <c r="E161" s="976"/>
      <c r="F161" s="976"/>
      <c r="G161" s="976"/>
      <c r="H161" s="976"/>
      <c r="I161" s="976"/>
      <c r="J161" s="976"/>
      <c r="K161" s="976"/>
      <c r="L161" s="976"/>
      <c r="M161" s="976"/>
      <c r="N161" s="976"/>
      <c r="O161" s="976"/>
      <c r="P161" s="976"/>
      <c r="Q161" s="976"/>
      <c r="R161" s="976"/>
      <c r="S161" s="976"/>
      <c r="T161" s="976"/>
      <c r="U161" s="976"/>
      <c r="V161" s="976"/>
      <c r="W161" s="976"/>
      <c r="X161" s="976"/>
      <c r="Y161" s="976"/>
      <c r="Z161" s="976"/>
    </row>
    <row r="162" spans="1:26" ht="15" x14ac:dyDescent="0.25">
      <c r="A162" s="976"/>
      <c r="B162" s="976"/>
      <c r="C162" s="976"/>
      <c r="D162" s="976"/>
      <c r="E162" s="976"/>
      <c r="F162" s="976"/>
      <c r="G162" s="976"/>
      <c r="H162" s="976"/>
      <c r="I162" s="976"/>
      <c r="J162" s="976"/>
      <c r="K162" s="976"/>
      <c r="L162" s="976"/>
      <c r="M162" s="976"/>
      <c r="N162" s="976"/>
      <c r="O162" s="976"/>
      <c r="P162" s="976"/>
      <c r="Q162" s="976"/>
      <c r="R162" s="976"/>
      <c r="S162" s="976"/>
      <c r="T162" s="976"/>
      <c r="U162" s="976"/>
      <c r="V162" s="976"/>
      <c r="W162" s="976"/>
      <c r="X162" s="976"/>
      <c r="Y162" s="976"/>
      <c r="Z162" s="976"/>
    </row>
    <row r="163" spans="1:26" ht="15" x14ac:dyDescent="0.25">
      <c r="A163" s="976"/>
      <c r="B163" s="976"/>
      <c r="C163" s="976"/>
      <c r="D163" s="976"/>
      <c r="E163" s="976"/>
      <c r="F163" s="976"/>
      <c r="G163" s="976"/>
      <c r="H163" s="976"/>
      <c r="I163" s="976"/>
      <c r="J163" s="976"/>
      <c r="K163" s="976"/>
      <c r="L163" s="976"/>
      <c r="M163" s="976"/>
      <c r="N163" s="976"/>
      <c r="O163" s="976"/>
      <c r="P163" s="976"/>
      <c r="Q163" s="976"/>
      <c r="R163" s="976"/>
      <c r="S163" s="976"/>
      <c r="T163" s="976"/>
      <c r="U163" s="976"/>
      <c r="V163" s="976"/>
      <c r="W163" s="976"/>
      <c r="X163" s="976"/>
      <c r="Y163" s="976"/>
      <c r="Z163" s="976"/>
    </row>
    <row r="164" spans="1:26" ht="15" x14ac:dyDescent="0.25">
      <c r="A164" s="976"/>
      <c r="B164" s="976"/>
      <c r="C164" s="976"/>
      <c r="D164" s="976"/>
      <c r="E164" s="976"/>
      <c r="F164" s="976"/>
      <c r="G164" s="976"/>
      <c r="H164" s="976"/>
      <c r="I164" s="976"/>
      <c r="J164" s="976"/>
      <c r="K164" s="976"/>
      <c r="L164" s="976"/>
      <c r="M164" s="976"/>
      <c r="N164" s="976"/>
      <c r="O164" s="976"/>
      <c r="P164" s="976"/>
      <c r="Q164" s="976"/>
      <c r="R164" s="976"/>
      <c r="S164" s="976"/>
      <c r="T164" s="976"/>
      <c r="U164" s="976"/>
      <c r="V164" s="976"/>
      <c r="W164" s="976"/>
      <c r="X164" s="976"/>
      <c r="Y164" s="976"/>
      <c r="Z164" s="976"/>
    </row>
    <row r="165" spans="1:26" ht="15" x14ac:dyDescent="0.25">
      <c r="A165" s="976"/>
      <c r="B165" s="976"/>
      <c r="C165" s="976"/>
      <c r="D165" s="976"/>
      <c r="E165" s="976"/>
      <c r="F165" s="976"/>
      <c r="G165" s="976"/>
      <c r="H165" s="976"/>
      <c r="I165" s="976"/>
      <c r="J165" s="976"/>
      <c r="K165" s="976"/>
      <c r="L165" s="976"/>
      <c r="M165" s="976"/>
      <c r="N165" s="976"/>
      <c r="O165" s="976"/>
      <c r="P165" s="976"/>
      <c r="Q165" s="976"/>
      <c r="R165" s="976"/>
      <c r="S165" s="976"/>
      <c r="T165" s="976"/>
      <c r="U165" s="976"/>
      <c r="V165" s="976"/>
      <c r="W165" s="976"/>
      <c r="X165" s="976"/>
      <c r="Y165" s="976"/>
      <c r="Z165" s="976"/>
    </row>
    <row r="166" spans="1:26" ht="15" x14ac:dyDescent="0.25">
      <c r="A166" s="976"/>
      <c r="B166" s="976"/>
      <c r="C166" s="976"/>
      <c r="D166" s="976"/>
      <c r="E166" s="976"/>
      <c r="F166" s="976"/>
      <c r="G166" s="976"/>
      <c r="H166" s="976"/>
      <c r="I166" s="976"/>
      <c r="J166" s="976"/>
      <c r="K166" s="976"/>
      <c r="L166" s="976"/>
      <c r="M166" s="976"/>
      <c r="N166" s="976"/>
      <c r="O166" s="976"/>
      <c r="P166" s="976"/>
      <c r="Q166" s="976"/>
      <c r="R166" s="976"/>
      <c r="S166" s="976"/>
      <c r="T166" s="976"/>
      <c r="U166" s="976"/>
      <c r="V166" s="976"/>
      <c r="W166" s="976"/>
      <c r="X166" s="976"/>
      <c r="Y166" s="976"/>
      <c r="Z166" s="976"/>
    </row>
    <row r="167" spans="1:26" ht="15" x14ac:dyDescent="0.25">
      <c r="A167" s="976"/>
      <c r="B167" s="976"/>
      <c r="C167" s="976"/>
      <c r="D167" s="976"/>
      <c r="E167" s="976"/>
      <c r="F167" s="976"/>
      <c r="G167" s="976"/>
      <c r="H167" s="976"/>
      <c r="I167" s="976"/>
      <c r="J167" s="976"/>
      <c r="K167" s="976"/>
      <c r="L167" s="976"/>
      <c r="M167" s="976"/>
      <c r="N167" s="976"/>
      <c r="O167" s="976"/>
      <c r="P167" s="976"/>
      <c r="Q167" s="976"/>
      <c r="R167" s="976"/>
      <c r="S167" s="976"/>
      <c r="T167" s="976"/>
      <c r="U167" s="976"/>
      <c r="V167" s="976"/>
      <c r="W167" s="976"/>
      <c r="X167" s="976"/>
      <c r="Y167" s="976"/>
      <c r="Z167" s="976"/>
    </row>
    <row r="168" spans="1:26" ht="15" x14ac:dyDescent="0.25">
      <c r="A168" s="976"/>
      <c r="B168" s="976"/>
      <c r="C168" s="976"/>
      <c r="D168" s="976"/>
      <c r="E168" s="976"/>
      <c r="F168" s="976"/>
      <c r="G168" s="976"/>
      <c r="H168" s="976"/>
      <c r="I168" s="976"/>
      <c r="J168" s="976"/>
      <c r="K168" s="976"/>
      <c r="L168" s="976"/>
      <c r="M168" s="976"/>
      <c r="N168" s="976"/>
      <c r="O168" s="976"/>
      <c r="P168" s="976"/>
      <c r="Q168" s="976"/>
      <c r="R168" s="976"/>
      <c r="S168" s="976"/>
      <c r="T168" s="976"/>
      <c r="U168" s="976"/>
      <c r="V168" s="976"/>
      <c r="W168" s="976"/>
      <c r="X168" s="976"/>
      <c r="Y168" s="976"/>
      <c r="Z168" s="976"/>
    </row>
    <row r="169" spans="1:26" ht="15" x14ac:dyDescent="0.25">
      <c r="A169" s="976"/>
      <c r="B169" s="976"/>
      <c r="C169" s="976"/>
      <c r="D169" s="976"/>
      <c r="E169" s="976"/>
      <c r="F169" s="976"/>
      <c r="G169" s="976"/>
      <c r="H169" s="976"/>
      <c r="I169" s="976"/>
      <c r="J169" s="976"/>
      <c r="K169" s="976"/>
      <c r="L169" s="976"/>
      <c r="M169" s="976"/>
      <c r="N169" s="976"/>
      <c r="O169" s="976"/>
      <c r="P169" s="976"/>
      <c r="Q169" s="976"/>
      <c r="R169" s="976"/>
      <c r="S169" s="976"/>
      <c r="T169" s="976"/>
      <c r="U169" s="976"/>
      <c r="V169" s="976"/>
      <c r="W169" s="976"/>
      <c r="X169" s="976"/>
      <c r="Y169" s="976"/>
      <c r="Z169" s="976"/>
    </row>
    <row r="170" spans="1:26" ht="15" x14ac:dyDescent="0.25">
      <c r="A170" s="976"/>
      <c r="B170" s="976"/>
      <c r="C170" s="976"/>
      <c r="D170" s="976"/>
      <c r="E170" s="976"/>
      <c r="F170" s="976"/>
      <c r="G170" s="976"/>
      <c r="H170" s="976"/>
      <c r="I170" s="976"/>
      <c r="J170" s="976"/>
      <c r="K170" s="976"/>
      <c r="L170" s="976"/>
      <c r="M170" s="976"/>
      <c r="N170" s="976"/>
      <c r="O170" s="976"/>
      <c r="P170" s="976"/>
      <c r="Q170" s="976"/>
      <c r="R170" s="976"/>
      <c r="S170" s="976"/>
      <c r="T170" s="976"/>
      <c r="U170" s="976"/>
      <c r="V170" s="976"/>
      <c r="W170" s="976"/>
      <c r="X170" s="976"/>
      <c r="Y170" s="976"/>
      <c r="Z170" s="976"/>
    </row>
    <row r="171" spans="1:26" ht="15" x14ac:dyDescent="0.25">
      <c r="A171" s="976"/>
      <c r="B171" s="976"/>
      <c r="C171" s="976"/>
      <c r="D171" s="976"/>
      <c r="E171" s="976"/>
      <c r="F171" s="976"/>
      <c r="G171" s="976"/>
      <c r="H171" s="976"/>
      <c r="I171" s="976"/>
      <c r="J171" s="976"/>
      <c r="K171" s="976"/>
      <c r="L171" s="976"/>
      <c r="M171" s="976"/>
      <c r="N171" s="976"/>
      <c r="O171" s="976"/>
      <c r="P171" s="976"/>
      <c r="Q171" s="976"/>
      <c r="R171" s="976"/>
      <c r="S171" s="976"/>
      <c r="T171" s="976"/>
      <c r="U171" s="976"/>
      <c r="V171" s="976"/>
      <c r="W171" s="976"/>
      <c r="X171" s="976"/>
      <c r="Y171" s="976"/>
      <c r="Z171" s="976"/>
    </row>
    <row r="172" spans="1:26" ht="15" x14ac:dyDescent="0.25">
      <c r="A172" s="976"/>
      <c r="B172" s="976"/>
      <c r="C172" s="976"/>
      <c r="D172" s="976"/>
      <c r="E172" s="976"/>
      <c r="F172" s="976"/>
      <c r="G172" s="976"/>
      <c r="H172" s="976"/>
      <c r="I172" s="976"/>
      <c r="J172" s="976"/>
      <c r="K172" s="976"/>
      <c r="L172" s="976"/>
      <c r="M172" s="976"/>
      <c r="N172" s="976"/>
      <c r="O172" s="976"/>
      <c r="P172" s="976"/>
      <c r="Q172" s="976"/>
      <c r="R172" s="976"/>
      <c r="S172" s="976"/>
      <c r="T172" s="976"/>
      <c r="U172" s="976"/>
      <c r="V172" s="976"/>
      <c r="W172" s="976"/>
      <c r="X172" s="976"/>
      <c r="Y172" s="976"/>
      <c r="Z172" s="976"/>
    </row>
    <row r="173" spans="1:26" ht="15" x14ac:dyDescent="0.25">
      <c r="A173" s="976"/>
      <c r="B173" s="976"/>
      <c r="C173" s="976"/>
      <c r="D173" s="976"/>
      <c r="E173" s="976"/>
      <c r="F173" s="976"/>
      <c r="G173" s="976"/>
      <c r="H173" s="976"/>
      <c r="I173" s="976"/>
      <c r="J173" s="976"/>
      <c r="K173" s="976"/>
      <c r="L173" s="976"/>
      <c r="M173" s="976"/>
      <c r="N173" s="976"/>
      <c r="O173" s="976"/>
      <c r="P173" s="976"/>
      <c r="Q173" s="976"/>
      <c r="R173" s="976"/>
      <c r="S173" s="976"/>
      <c r="T173" s="976"/>
      <c r="U173" s="976"/>
      <c r="V173" s="976"/>
      <c r="W173" s="976"/>
      <c r="X173" s="976"/>
      <c r="Y173" s="976"/>
      <c r="Z173" s="976"/>
    </row>
    <row r="174" spans="1:26" ht="15" x14ac:dyDescent="0.25">
      <c r="A174" s="976"/>
      <c r="B174" s="976"/>
      <c r="C174" s="976"/>
      <c r="D174" s="976"/>
      <c r="E174" s="976"/>
      <c r="F174" s="976"/>
      <c r="G174" s="976"/>
      <c r="H174" s="976"/>
      <c r="I174" s="976"/>
      <c r="J174" s="976"/>
      <c r="K174" s="976"/>
      <c r="L174" s="976"/>
      <c r="M174" s="976"/>
      <c r="N174" s="976"/>
      <c r="O174" s="976"/>
      <c r="P174" s="976"/>
      <c r="Q174" s="976"/>
      <c r="R174" s="976"/>
      <c r="S174" s="976"/>
      <c r="T174" s="976"/>
      <c r="U174" s="976"/>
      <c r="V174" s="976"/>
      <c r="W174" s="976"/>
      <c r="X174" s="976"/>
      <c r="Y174" s="976"/>
      <c r="Z174" s="976"/>
    </row>
    <row r="175" spans="1:26" ht="15" x14ac:dyDescent="0.25">
      <c r="A175" s="976"/>
      <c r="B175" s="976"/>
      <c r="C175" s="976"/>
      <c r="D175" s="976"/>
      <c r="E175" s="976"/>
      <c r="F175" s="976"/>
      <c r="G175" s="976"/>
      <c r="H175" s="976"/>
      <c r="I175" s="976"/>
      <c r="J175" s="976"/>
      <c r="K175" s="976"/>
      <c r="L175" s="976"/>
      <c r="M175" s="976"/>
      <c r="N175" s="976"/>
      <c r="O175" s="976"/>
      <c r="P175" s="976"/>
      <c r="Q175" s="976"/>
      <c r="R175" s="976"/>
      <c r="S175" s="976"/>
      <c r="T175" s="976"/>
      <c r="U175" s="976"/>
      <c r="V175" s="976"/>
      <c r="W175" s="976"/>
      <c r="X175" s="976"/>
      <c r="Y175" s="976"/>
      <c r="Z175" s="976"/>
    </row>
    <row r="176" spans="1:26" ht="15" x14ac:dyDescent="0.25">
      <c r="A176" s="976"/>
      <c r="B176" s="976"/>
      <c r="C176" s="976"/>
      <c r="D176" s="976"/>
      <c r="E176" s="976"/>
      <c r="F176" s="976"/>
      <c r="G176" s="976"/>
      <c r="H176" s="976"/>
      <c r="I176" s="976"/>
      <c r="J176" s="976"/>
      <c r="K176" s="976"/>
      <c r="L176" s="976"/>
      <c r="M176" s="976"/>
      <c r="N176" s="976"/>
      <c r="O176" s="976"/>
      <c r="P176" s="976"/>
      <c r="Q176" s="976"/>
      <c r="R176" s="976"/>
      <c r="S176" s="976"/>
      <c r="T176" s="976"/>
      <c r="U176" s="976"/>
      <c r="V176" s="976"/>
      <c r="W176" s="976"/>
      <c r="X176" s="976"/>
      <c r="Y176" s="976"/>
      <c r="Z176" s="976"/>
    </row>
    <row r="177" spans="1:26" ht="15" x14ac:dyDescent="0.25">
      <c r="A177" s="976"/>
      <c r="B177" s="976"/>
      <c r="C177" s="976"/>
      <c r="D177" s="976"/>
      <c r="E177" s="976"/>
      <c r="F177" s="976"/>
      <c r="G177" s="976"/>
      <c r="H177" s="976"/>
      <c r="I177" s="976"/>
      <c r="J177" s="976"/>
      <c r="K177" s="976"/>
      <c r="L177" s="976"/>
      <c r="M177" s="976"/>
      <c r="N177" s="976"/>
      <c r="O177" s="976"/>
      <c r="P177" s="976"/>
      <c r="Q177" s="976"/>
      <c r="R177" s="976"/>
      <c r="S177" s="976"/>
      <c r="T177" s="976"/>
      <c r="U177" s="976"/>
      <c r="V177" s="976"/>
      <c r="W177" s="976"/>
      <c r="X177" s="976"/>
      <c r="Y177" s="976"/>
      <c r="Z177" s="976"/>
    </row>
    <row r="178" spans="1:26" ht="15" x14ac:dyDescent="0.25">
      <c r="A178" s="976"/>
      <c r="B178" s="976"/>
      <c r="C178" s="976"/>
      <c r="D178" s="976"/>
      <c r="E178" s="976"/>
      <c r="F178" s="976"/>
      <c r="G178" s="976"/>
      <c r="H178" s="976"/>
      <c r="I178" s="976"/>
      <c r="J178" s="976"/>
      <c r="K178" s="976"/>
      <c r="L178" s="976"/>
      <c r="M178" s="976"/>
      <c r="N178" s="976"/>
      <c r="O178" s="976"/>
      <c r="P178" s="976"/>
      <c r="Q178" s="976"/>
      <c r="R178" s="976"/>
      <c r="S178" s="976"/>
      <c r="T178" s="976"/>
      <c r="U178" s="976"/>
      <c r="V178" s="976"/>
      <c r="W178" s="976"/>
      <c r="X178" s="976"/>
      <c r="Y178" s="976"/>
      <c r="Z178" s="976"/>
    </row>
    <row r="179" spans="1:26" ht="15" x14ac:dyDescent="0.25">
      <c r="A179" s="976"/>
      <c r="B179" s="976"/>
      <c r="C179" s="976"/>
      <c r="D179" s="976"/>
      <c r="E179" s="976"/>
      <c r="F179" s="976"/>
      <c r="G179" s="976"/>
      <c r="H179" s="976"/>
      <c r="I179" s="976"/>
      <c r="J179" s="976"/>
      <c r="K179" s="976"/>
      <c r="L179" s="976"/>
      <c r="M179" s="976"/>
      <c r="N179" s="976"/>
      <c r="O179" s="976"/>
      <c r="P179" s="976"/>
      <c r="Q179" s="976"/>
      <c r="R179" s="976"/>
      <c r="S179" s="976"/>
      <c r="T179" s="976"/>
      <c r="U179" s="976"/>
      <c r="V179" s="976"/>
      <c r="W179" s="976"/>
      <c r="X179" s="976"/>
      <c r="Y179" s="976"/>
      <c r="Z179" s="976"/>
    </row>
    <row r="180" spans="1:26" ht="15" x14ac:dyDescent="0.25">
      <c r="A180" s="976"/>
      <c r="B180" s="976"/>
      <c r="C180" s="976"/>
      <c r="D180" s="976"/>
      <c r="E180" s="976"/>
      <c r="F180" s="976"/>
      <c r="G180" s="976"/>
      <c r="H180" s="976"/>
      <c r="I180" s="976"/>
      <c r="J180" s="976"/>
      <c r="K180" s="976"/>
      <c r="L180" s="976"/>
      <c r="M180" s="976"/>
      <c r="N180" s="976"/>
      <c r="O180" s="976"/>
      <c r="P180" s="976"/>
      <c r="Q180" s="976"/>
      <c r="R180" s="976"/>
      <c r="S180" s="976"/>
      <c r="T180" s="976"/>
      <c r="U180" s="976"/>
      <c r="V180" s="976"/>
      <c r="W180" s="976"/>
      <c r="X180" s="976"/>
      <c r="Y180" s="976"/>
      <c r="Z180" s="976"/>
    </row>
    <row r="181" spans="1:26" ht="15" x14ac:dyDescent="0.25">
      <c r="A181" s="976"/>
      <c r="B181" s="976"/>
      <c r="C181" s="976"/>
      <c r="D181" s="976"/>
      <c r="E181" s="976"/>
      <c r="F181" s="976"/>
      <c r="G181" s="976"/>
      <c r="H181" s="976"/>
      <c r="I181" s="976"/>
      <c r="J181" s="976"/>
      <c r="K181" s="976"/>
      <c r="L181" s="976"/>
      <c r="M181" s="976"/>
      <c r="N181" s="976"/>
      <c r="O181" s="976"/>
      <c r="P181" s="976"/>
      <c r="Q181" s="976"/>
      <c r="R181" s="976"/>
      <c r="S181" s="976"/>
      <c r="T181" s="976"/>
      <c r="U181" s="976"/>
      <c r="V181" s="976"/>
      <c r="W181" s="976"/>
      <c r="X181" s="976"/>
      <c r="Y181" s="976"/>
      <c r="Z181" s="976"/>
    </row>
    <row r="182" spans="1:26" ht="15" x14ac:dyDescent="0.25">
      <c r="A182" s="976"/>
      <c r="B182" s="976"/>
      <c r="C182" s="976"/>
      <c r="D182" s="976"/>
      <c r="E182" s="976"/>
      <c r="F182" s="976"/>
      <c r="G182" s="976"/>
      <c r="H182" s="976"/>
      <c r="I182" s="976"/>
      <c r="J182" s="976"/>
      <c r="K182" s="976"/>
      <c r="L182" s="976"/>
      <c r="M182" s="976"/>
      <c r="N182" s="976"/>
      <c r="O182" s="976"/>
      <c r="P182" s="976"/>
      <c r="Q182" s="976"/>
      <c r="R182" s="976"/>
      <c r="S182" s="976"/>
      <c r="T182" s="976"/>
      <c r="U182" s="976"/>
      <c r="V182" s="976"/>
      <c r="W182" s="976"/>
      <c r="X182" s="976"/>
      <c r="Y182" s="976"/>
      <c r="Z182" s="976"/>
    </row>
    <row r="183" spans="1:26" ht="15" x14ac:dyDescent="0.25">
      <c r="A183" s="976"/>
      <c r="B183" s="976"/>
      <c r="C183" s="976"/>
      <c r="D183" s="976"/>
      <c r="E183" s="976"/>
      <c r="F183" s="976"/>
      <c r="G183" s="976"/>
      <c r="H183" s="976"/>
      <c r="I183" s="976"/>
      <c r="J183" s="976"/>
      <c r="K183" s="976"/>
      <c r="L183" s="976"/>
      <c r="M183" s="976"/>
      <c r="N183" s="976"/>
      <c r="O183" s="976"/>
      <c r="P183" s="976"/>
      <c r="Q183" s="976"/>
      <c r="R183" s="976"/>
      <c r="S183" s="976"/>
      <c r="T183" s="976"/>
      <c r="U183" s="976"/>
      <c r="V183" s="976"/>
      <c r="W183" s="976"/>
      <c r="X183" s="976"/>
      <c r="Y183" s="976"/>
      <c r="Z183" s="976"/>
    </row>
    <row r="184" spans="1:26" ht="15" x14ac:dyDescent="0.25">
      <c r="A184" s="976"/>
      <c r="B184" s="976"/>
      <c r="C184" s="976"/>
      <c r="D184" s="976"/>
      <c r="E184" s="976"/>
      <c r="F184" s="976"/>
      <c r="G184" s="976"/>
      <c r="H184" s="976"/>
      <c r="I184" s="976"/>
      <c r="J184" s="976"/>
      <c r="K184" s="976"/>
      <c r="L184" s="976"/>
      <c r="M184" s="976"/>
      <c r="N184" s="976"/>
      <c r="O184" s="976"/>
      <c r="P184" s="976"/>
      <c r="Q184" s="976"/>
      <c r="R184" s="976"/>
      <c r="S184" s="976"/>
      <c r="T184" s="976"/>
      <c r="U184" s="976"/>
      <c r="V184" s="976"/>
      <c r="W184" s="976"/>
      <c r="X184" s="976"/>
      <c r="Y184" s="976"/>
      <c r="Z184" s="976"/>
    </row>
    <row r="185" spans="1:26" ht="15" x14ac:dyDescent="0.25">
      <c r="A185" s="976"/>
      <c r="B185" s="976"/>
      <c r="C185" s="976"/>
      <c r="D185" s="976"/>
      <c r="E185" s="976"/>
      <c r="F185" s="976"/>
      <c r="G185" s="976"/>
      <c r="H185" s="976"/>
      <c r="I185" s="976"/>
      <c r="J185" s="976"/>
      <c r="K185" s="976"/>
      <c r="L185" s="976"/>
      <c r="M185" s="976"/>
      <c r="N185" s="976"/>
      <c r="O185" s="976"/>
      <c r="P185" s="976"/>
      <c r="Q185" s="976"/>
      <c r="R185" s="976"/>
      <c r="S185" s="976"/>
      <c r="T185" s="976"/>
      <c r="U185" s="976"/>
      <c r="V185" s="976"/>
      <c r="W185" s="976"/>
      <c r="X185" s="976"/>
      <c r="Y185" s="976"/>
      <c r="Z185" s="976"/>
    </row>
    <row r="186" spans="1:26" ht="15" x14ac:dyDescent="0.25">
      <c r="A186" s="976"/>
      <c r="B186" s="976"/>
      <c r="C186" s="976"/>
      <c r="D186" s="976"/>
      <c r="E186" s="976"/>
      <c r="F186" s="976"/>
      <c r="G186" s="976"/>
      <c r="H186" s="976"/>
      <c r="I186" s="976"/>
      <c r="J186" s="976"/>
      <c r="K186" s="976"/>
      <c r="L186" s="976"/>
      <c r="M186" s="976"/>
      <c r="N186" s="976"/>
      <c r="O186" s="976"/>
      <c r="P186" s="976"/>
      <c r="Q186" s="976"/>
      <c r="R186" s="976"/>
      <c r="S186" s="976"/>
      <c r="T186" s="976"/>
      <c r="U186" s="976"/>
      <c r="V186" s="976"/>
      <c r="W186" s="976"/>
      <c r="X186" s="976"/>
      <c r="Y186" s="976"/>
      <c r="Z186" s="976"/>
    </row>
    <row r="187" spans="1:26" ht="15" x14ac:dyDescent="0.25">
      <c r="A187" s="976"/>
      <c r="B187" s="976"/>
      <c r="C187" s="976"/>
      <c r="D187" s="976"/>
      <c r="E187" s="976"/>
      <c r="F187" s="976"/>
      <c r="G187" s="976"/>
      <c r="H187" s="976"/>
      <c r="I187" s="976"/>
      <c r="J187" s="976"/>
      <c r="K187" s="976"/>
      <c r="L187" s="976"/>
      <c r="M187" s="976"/>
      <c r="N187" s="976"/>
      <c r="O187" s="976"/>
      <c r="P187" s="976"/>
      <c r="Q187" s="976"/>
      <c r="R187" s="976"/>
      <c r="S187" s="976"/>
      <c r="T187" s="976"/>
      <c r="U187" s="976"/>
      <c r="V187" s="976"/>
      <c r="W187" s="976"/>
      <c r="X187" s="976"/>
      <c r="Y187" s="976"/>
      <c r="Z187" s="976"/>
    </row>
    <row r="188" spans="1:26" ht="15" x14ac:dyDescent="0.25">
      <c r="A188" s="976"/>
      <c r="B188" s="976"/>
      <c r="C188" s="976"/>
      <c r="D188" s="976"/>
      <c r="E188" s="976"/>
      <c r="F188" s="976"/>
      <c r="G188" s="976"/>
      <c r="H188" s="976"/>
      <c r="I188" s="976"/>
      <c r="J188" s="976"/>
      <c r="K188" s="976"/>
      <c r="L188" s="976"/>
      <c r="M188" s="976"/>
      <c r="N188" s="976"/>
      <c r="O188" s="976"/>
      <c r="P188" s="976"/>
      <c r="Q188" s="976"/>
      <c r="R188" s="976"/>
      <c r="S188" s="976"/>
      <c r="T188" s="976"/>
      <c r="U188" s="976"/>
      <c r="V188" s="976"/>
      <c r="W188" s="976"/>
      <c r="X188" s="976"/>
      <c r="Y188" s="976"/>
      <c r="Z188" s="976"/>
    </row>
    <row r="189" spans="1:26" ht="15" x14ac:dyDescent="0.25">
      <c r="A189" s="976"/>
      <c r="B189" s="976"/>
      <c r="C189" s="976"/>
      <c r="D189" s="976"/>
      <c r="E189" s="976"/>
      <c r="F189" s="976"/>
      <c r="G189" s="976"/>
      <c r="H189" s="976"/>
      <c r="I189" s="976"/>
      <c r="J189" s="976"/>
      <c r="K189" s="976"/>
      <c r="L189" s="976"/>
      <c r="M189" s="976"/>
      <c r="N189" s="976"/>
      <c r="O189" s="976"/>
      <c r="P189" s="976"/>
      <c r="Q189" s="976"/>
      <c r="R189" s="976"/>
      <c r="S189" s="976"/>
      <c r="T189" s="976"/>
      <c r="U189" s="976"/>
      <c r="V189" s="976"/>
      <c r="W189" s="976"/>
      <c r="X189" s="976"/>
      <c r="Y189" s="976"/>
      <c r="Z189" s="976"/>
    </row>
    <row r="190" spans="1:26" ht="15" x14ac:dyDescent="0.25">
      <c r="A190" s="976"/>
      <c r="B190" s="976"/>
      <c r="C190" s="976"/>
      <c r="D190" s="976"/>
      <c r="E190" s="976"/>
      <c r="F190" s="976"/>
      <c r="G190" s="976"/>
      <c r="H190" s="976"/>
      <c r="I190" s="976"/>
      <c r="J190" s="976"/>
      <c r="K190" s="976"/>
      <c r="L190" s="976"/>
      <c r="M190" s="976"/>
      <c r="N190" s="976"/>
      <c r="O190" s="976"/>
      <c r="P190" s="976"/>
      <c r="Q190" s="976"/>
      <c r="R190" s="976"/>
      <c r="S190" s="976"/>
      <c r="T190" s="976"/>
      <c r="U190" s="976"/>
      <c r="V190" s="976"/>
      <c r="W190" s="976"/>
      <c r="X190" s="976"/>
      <c r="Y190" s="976"/>
      <c r="Z190" s="976"/>
    </row>
    <row r="191" spans="1:26" ht="15" x14ac:dyDescent="0.25">
      <c r="A191" s="976"/>
      <c r="B191" s="976"/>
      <c r="C191" s="976"/>
      <c r="D191" s="976"/>
      <c r="E191" s="976"/>
      <c r="F191" s="976"/>
      <c r="G191" s="976"/>
      <c r="H191" s="976"/>
      <c r="I191" s="976"/>
      <c r="J191" s="976"/>
      <c r="K191" s="976"/>
      <c r="L191" s="976"/>
      <c r="M191" s="976"/>
      <c r="N191" s="976"/>
      <c r="O191" s="976"/>
      <c r="P191" s="976"/>
      <c r="Q191" s="976"/>
      <c r="R191" s="976"/>
      <c r="S191" s="976"/>
      <c r="T191" s="976"/>
      <c r="U191" s="976"/>
      <c r="V191" s="976"/>
      <c r="W191" s="976"/>
      <c r="X191" s="976"/>
      <c r="Y191" s="976"/>
      <c r="Z191" s="976"/>
    </row>
    <row r="192" spans="1:26" ht="15" x14ac:dyDescent="0.25">
      <c r="A192" s="976"/>
      <c r="B192" s="976"/>
      <c r="C192" s="976"/>
      <c r="D192" s="976"/>
      <c r="E192" s="976"/>
      <c r="F192" s="976"/>
      <c r="G192" s="976"/>
      <c r="H192" s="976"/>
      <c r="I192" s="976"/>
      <c r="J192" s="976"/>
      <c r="K192" s="976"/>
      <c r="L192" s="976"/>
      <c r="M192" s="976"/>
      <c r="N192" s="976"/>
      <c r="O192" s="976"/>
      <c r="P192" s="976"/>
      <c r="Q192" s="976"/>
      <c r="R192" s="976"/>
      <c r="S192" s="976"/>
      <c r="T192" s="976"/>
      <c r="U192" s="976"/>
      <c r="V192" s="976"/>
      <c r="W192" s="976"/>
      <c r="X192" s="976"/>
      <c r="Y192" s="976"/>
      <c r="Z192" s="976"/>
    </row>
    <row r="193" spans="1:26" ht="15" x14ac:dyDescent="0.25">
      <c r="A193" s="976"/>
      <c r="B193" s="976"/>
      <c r="C193" s="976"/>
      <c r="D193" s="976"/>
      <c r="E193" s="976"/>
      <c r="F193" s="976"/>
      <c r="G193" s="976"/>
      <c r="H193" s="976"/>
      <c r="I193" s="976"/>
      <c r="J193" s="976"/>
      <c r="K193" s="976"/>
      <c r="L193" s="976"/>
      <c r="M193" s="976"/>
      <c r="N193" s="976"/>
      <c r="O193" s="976"/>
      <c r="P193" s="976"/>
      <c r="Q193" s="976"/>
      <c r="R193" s="976"/>
      <c r="S193" s="976"/>
      <c r="T193" s="976"/>
      <c r="U193" s="976"/>
      <c r="V193" s="976"/>
      <c r="W193" s="976"/>
      <c r="X193" s="976"/>
      <c r="Y193" s="976"/>
      <c r="Z193" s="976"/>
    </row>
    <row r="194" spans="1:26" ht="15" x14ac:dyDescent="0.25">
      <c r="A194" s="976"/>
      <c r="B194" s="976"/>
      <c r="C194" s="976"/>
      <c r="D194" s="976"/>
      <c r="E194" s="976"/>
      <c r="F194" s="976"/>
      <c r="G194" s="976"/>
      <c r="H194" s="976"/>
      <c r="I194" s="976"/>
      <c r="J194" s="976"/>
      <c r="K194" s="976"/>
      <c r="L194" s="976"/>
      <c r="M194" s="976"/>
      <c r="N194" s="976"/>
      <c r="O194" s="976"/>
      <c r="P194" s="976"/>
      <c r="Q194" s="976"/>
      <c r="R194" s="976"/>
      <c r="S194" s="976"/>
      <c r="T194" s="976"/>
      <c r="U194" s="976"/>
      <c r="V194" s="976"/>
      <c r="W194" s="976"/>
      <c r="X194" s="976"/>
      <c r="Y194" s="976"/>
      <c r="Z194" s="976"/>
    </row>
    <row r="195" spans="1:26" ht="15" x14ac:dyDescent="0.25">
      <c r="A195" s="976"/>
      <c r="B195" s="976"/>
      <c r="C195" s="976"/>
      <c r="D195" s="976"/>
      <c r="E195" s="976"/>
      <c r="F195" s="976"/>
      <c r="G195" s="976"/>
      <c r="H195" s="976"/>
      <c r="I195" s="976"/>
      <c r="J195" s="976"/>
      <c r="K195" s="976"/>
      <c r="L195" s="976"/>
      <c r="M195" s="976"/>
      <c r="N195" s="976"/>
      <c r="O195" s="976"/>
      <c r="P195" s="976"/>
      <c r="Q195" s="976"/>
      <c r="R195" s="976"/>
      <c r="S195" s="976"/>
      <c r="T195" s="976"/>
      <c r="U195" s="976"/>
      <c r="V195" s="976"/>
      <c r="W195" s="976"/>
      <c r="X195" s="976"/>
      <c r="Y195" s="976"/>
      <c r="Z195" s="976"/>
    </row>
    <row r="196" spans="1:26" ht="15" x14ac:dyDescent="0.25">
      <c r="A196" s="976"/>
      <c r="B196" s="976"/>
      <c r="C196" s="976"/>
      <c r="D196" s="976"/>
      <c r="E196" s="976"/>
      <c r="F196" s="976"/>
      <c r="G196" s="976"/>
      <c r="H196" s="976"/>
      <c r="I196" s="976"/>
      <c r="J196" s="976"/>
      <c r="K196" s="976"/>
      <c r="L196" s="976"/>
      <c r="M196" s="976"/>
      <c r="N196" s="976"/>
      <c r="O196" s="976"/>
      <c r="P196" s="976"/>
      <c r="Q196" s="976"/>
      <c r="R196" s="976"/>
      <c r="S196" s="976"/>
      <c r="T196" s="976"/>
      <c r="U196" s="976"/>
      <c r="V196" s="976"/>
      <c r="W196" s="976"/>
      <c r="X196" s="976"/>
      <c r="Y196" s="976"/>
      <c r="Z196" s="976"/>
    </row>
    <row r="197" spans="1:26" ht="15" x14ac:dyDescent="0.25">
      <c r="A197" s="976"/>
      <c r="B197" s="976"/>
      <c r="C197" s="976"/>
      <c r="D197" s="976"/>
      <c r="E197" s="976"/>
      <c r="F197" s="976"/>
      <c r="G197" s="976"/>
      <c r="H197" s="976"/>
      <c r="I197" s="976"/>
      <c r="J197" s="976"/>
      <c r="K197" s="976"/>
      <c r="L197" s="976"/>
      <c r="M197" s="976"/>
      <c r="N197" s="976"/>
      <c r="O197" s="976"/>
      <c r="P197" s="976"/>
      <c r="Q197" s="976"/>
      <c r="R197" s="976"/>
      <c r="S197" s="976"/>
      <c r="T197" s="976"/>
      <c r="U197" s="976"/>
      <c r="V197" s="976"/>
      <c r="W197" s="976"/>
      <c r="X197" s="976"/>
      <c r="Y197" s="976"/>
      <c r="Z197" s="976"/>
    </row>
    <row r="198" spans="1:26" ht="15" x14ac:dyDescent="0.25">
      <c r="A198" s="976"/>
      <c r="B198" s="976"/>
      <c r="C198" s="976"/>
      <c r="D198" s="976"/>
      <c r="E198" s="976"/>
      <c r="F198" s="976"/>
      <c r="G198" s="976"/>
      <c r="H198" s="976"/>
      <c r="I198" s="976"/>
      <c r="J198" s="976"/>
      <c r="K198" s="976"/>
      <c r="L198" s="976"/>
      <c r="M198" s="976"/>
      <c r="N198" s="976"/>
      <c r="O198" s="976"/>
      <c r="P198" s="976"/>
      <c r="Q198" s="976"/>
      <c r="R198" s="976"/>
      <c r="S198" s="976"/>
      <c r="T198" s="976"/>
      <c r="U198" s="976"/>
      <c r="V198" s="976"/>
      <c r="W198" s="976"/>
      <c r="X198" s="976"/>
      <c r="Y198" s="976"/>
      <c r="Z198" s="976"/>
    </row>
    <row r="199" spans="1:26" ht="15" x14ac:dyDescent="0.25">
      <c r="A199" s="976"/>
      <c r="B199" s="976"/>
      <c r="C199" s="976"/>
      <c r="D199" s="976"/>
      <c r="E199" s="976"/>
      <c r="F199" s="976"/>
      <c r="G199" s="976"/>
      <c r="H199" s="976"/>
      <c r="I199" s="976"/>
      <c r="J199" s="976"/>
      <c r="K199" s="976"/>
      <c r="L199" s="976"/>
      <c r="M199" s="976"/>
      <c r="N199" s="976"/>
      <c r="O199" s="976"/>
      <c r="P199" s="976"/>
      <c r="Q199" s="976"/>
      <c r="R199" s="976"/>
      <c r="S199" s="976"/>
      <c r="T199" s="976"/>
      <c r="U199" s="976"/>
      <c r="V199" s="976"/>
      <c r="W199" s="976"/>
      <c r="X199" s="976"/>
      <c r="Y199" s="976"/>
      <c r="Z199" s="976"/>
    </row>
    <row r="200" spans="1:26" ht="15" x14ac:dyDescent="0.25">
      <c r="A200" s="976"/>
      <c r="B200" s="976"/>
      <c r="C200" s="976"/>
      <c r="D200" s="976"/>
      <c r="E200" s="976"/>
      <c r="F200" s="976"/>
      <c r="G200" s="976"/>
      <c r="H200" s="976"/>
      <c r="I200" s="976"/>
      <c r="J200" s="976"/>
      <c r="K200" s="976"/>
      <c r="L200" s="976"/>
      <c r="M200" s="976"/>
      <c r="N200" s="976"/>
      <c r="O200" s="976"/>
      <c r="P200" s="976"/>
      <c r="Q200" s="976"/>
      <c r="R200" s="976"/>
      <c r="S200" s="976"/>
      <c r="T200" s="976"/>
      <c r="U200" s="976"/>
      <c r="V200" s="976"/>
      <c r="W200" s="976"/>
      <c r="X200" s="976"/>
      <c r="Y200" s="976"/>
      <c r="Z200" s="976"/>
    </row>
    <row r="201" spans="1:26" ht="15" x14ac:dyDescent="0.25">
      <c r="A201" s="976"/>
      <c r="B201" s="976"/>
      <c r="C201" s="976"/>
      <c r="D201" s="976"/>
      <c r="E201" s="976"/>
      <c r="F201" s="976"/>
      <c r="G201" s="976"/>
      <c r="H201" s="976"/>
      <c r="I201" s="976"/>
      <c r="J201" s="976"/>
      <c r="K201" s="976"/>
      <c r="L201" s="976"/>
      <c r="M201" s="976"/>
      <c r="N201" s="976"/>
      <c r="O201" s="976"/>
      <c r="P201" s="976"/>
      <c r="Q201" s="976"/>
      <c r="R201" s="976"/>
      <c r="S201" s="976"/>
      <c r="T201" s="976"/>
      <c r="U201" s="976"/>
      <c r="V201" s="976"/>
      <c r="W201" s="976"/>
      <c r="X201" s="976"/>
      <c r="Y201" s="976"/>
      <c r="Z201" s="976"/>
    </row>
    <row r="202" spans="1:26" ht="15" x14ac:dyDescent="0.25">
      <c r="A202" s="976"/>
      <c r="B202" s="976"/>
      <c r="C202" s="976"/>
      <c r="D202" s="976"/>
      <c r="E202" s="976"/>
      <c r="F202" s="976"/>
      <c r="G202" s="976"/>
      <c r="H202" s="976"/>
      <c r="I202" s="976"/>
      <c r="J202" s="976"/>
      <c r="K202" s="976"/>
      <c r="L202" s="976"/>
      <c r="M202" s="976"/>
      <c r="N202" s="976"/>
      <c r="O202" s="976"/>
      <c r="P202" s="976"/>
      <c r="Q202" s="976"/>
      <c r="R202" s="976"/>
      <c r="S202" s="976"/>
      <c r="T202" s="976"/>
      <c r="U202" s="976"/>
      <c r="V202" s="976"/>
      <c r="W202" s="976"/>
      <c r="X202" s="976"/>
      <c r="Y202" s="976"/>
      <c r="Z202" s="976"/>
    </row>
    <row r="203" spans="1:26" ht="15" x14ac:dyDescent="0.25">
      <c r="A203" s="976"/>
      <c r="B203" s="976"/>
      <c r="C203" s="976"/>
      <c r="D203" s="976"/>
      <c r="E203" s="976"/>
      <c r="F203" s="976"/>
      <c r="G203" s="976"/>
      <c r="H203" s="976"/>
      <c r="I203" s="976"/>
      <c r="J203" s="976"/>
      <c r="K203" s="976"/>
      <c r="L203" s="976"/>
      <c r="M203" s="976"/>
      <c r="N203" s="976"/>
      <c r="O203" s="976"/>
      <c r="P203" s="976"/>
      <c r="Q203" s="976"/>
      <c r="R203" s="976"/>
      <c r="S203" s="976"/>
      <c r="T203" s="976"/>
      <c r="U203" s="976"/>
      <c r="V203" s="976"/>
      <c r="W203" s="976"/>
      <c r="X203" s="976"/>
      <c r="Y203" s="976"/>
      <c r="Z203" s="976"/>
    </row>
    <row r="204" spans="1:26" ht="15" x14ac:dyDescent="0.25">
      <c r="A204" s="976"/>
      <c r="B204" s="976"/>
      <c r="C204" s="976"/>
      <c r="D204" s="976"/>
      <c r="E204" s="976"/>
      <c r="F204" s="976"/>
      <c r="G204" s="976"/>
      <c r="H204" s="976"/>
      <c r="I204" s="976"/>
      <c r="J204" s="976"/>
      <c r="K204" s="976"/>
      <c r="L204" s="976"/>
      <c r="M204" s="976"/>
      <c r="N204" s="976"/>
      <c r="O204" s="976"/>
      <c r="P204" s="976"/>
      <c r="Q204" s="976"/>
      <c r="R204" s="976"/>
      <c r="S204" s="976"/>
      <c r="T204" s="976"/>
      <c r="U204" s="976"/>
      <c r="V204" s="976"/>
      <c r="W204" s="976"/>
      <c r="X204" s="976"/>
      <c r="Y204" s="976"/>
      <c r="Z204" s="976"/>
    </row>
    <row r="205" spans="1:26" ht="15" x14ac:dyDescent="0.25">
      <c r="A205" s="976"/>
      <c r="B205" s="976"/>
      <c r="C205" s="976"/>
      <c r="D205" s="976"/>
      <c r="E205" s="976"/>
      <c r="F205" s="976"/>
      <c r="G205" s="976"/>
      <c r="H205" s="976"/>
      <c r="I205" s="976"/>
      <c r="J205" s="976"/>
      <c r="K205" s="976"/>
      <c r="L205" s="976"/>
      <c r="M205" s="976"/>
      <c r="N205" s="976"/>
      <c r="O205" s="976"/>
      <c r="P205" s="976"/>
      <c r="Q205" s="976"/>
      <c r="R205" s="976"/>
      <c r="S205" s="976"/>
      <c r="T205" s="976"/>
      <c r="U205" s="976"/>
      <c r="V205" s="976"/>
      <c r="W205" s="976"/>
      <c r="X205" s="976"/>
      <c r="Y205" s="976"/>
      <c r="Z205" s="976"/>
    </row>
    <row r="206" spans="1:26" ht="15" x14ac:dyDescent="0.25">
      <c r="A206" s="976"/>
      <c r="B206" s="976"/>
      <c r="C206" s="976"/>
      <c r="D206" s="976"/>
      <c r="E206" s="976"/>
      <c r="F206" s="976"/>
      <c r="G206" s="976"/>
      <c r="H206" s="976"/>
      <c r="I206" s="976"/>
      <c r="J206" s="976"/>
      <c r="K206" s="976"/>
      <c r="L206" s="976"/>
      <c r="M206" s="976"/>
      <c r="N206" s="976"/>
      <c r="O206" s="976"/>
      <c r="P206" s="976"/>
      <c r="Q206" s="976"/>
      <c r="R206" s="976"/>
      <c r="S206" s="976"/>
      <c r="T206" s="976"/>
      <c r="U206" s="976"/>
      <c r="V206" s="976"/>
      <c r="W206" s="976"/>
      <c r="X206" s="976"/>
      <c r="Y206" s="976"/>
      <c r="Z206" s="976"/>
    </row>
    <row r="207" spans="1:26" ht="15" x14ac:dyDescent="0.25">
      <c r="A207" s="976"/>
      <c r="B207" s="976"/>
      <c r="C207" s="976"/>
      <c r="D207" s="976"/>
      <c r="E207" s="976"/>
      <c r="F207" s="976"/>
      <c r="G207" s="976"/>
      <c r="H207" s="976"/>
      <c r="I207" s="976"/>
      <c r="J207" s="976"/>
      <c r="K207" s="976"/>
      <c r="L207" s="976"/>
      <c r="M207" s="976"/>
      <c r="N207" s="976"/>
      <c r="O207" s="976"/>
      <c r="P207" s="976"/>
      <c r="Q207" s="976"/>
      <c r="R207" s="976"/>
      <c r="S207" s="976"/>
      <c r="T207" s="976"/>
      <c r="U207" s="976"/>
      <c r="V207" s="976"/>
      <c r="W207" s="976"/>
      <c r="X207" s="976"/>
      <c r="Y207" s="976"/>
      <c r="Z207" s="976"/>
    </row>
    <row r="208" spans="1:26" ht="15" x14ac:dyDescent="0.25">
      <c r="A208" s="976"/>
      <c r="B208" s="976"/>
      <c r="C208" s="976"/>
      <c r="D208" s="976"/>
      <c r="E208" s="976"/>
      <c r="F208" s="976"/>
      <c r="G208" s="976"/>
      <c r="H208" s="976"/>
      <c r="I208" s="976"/>
      <c r="J208" s="976"/>
      <c r="K208" s="976"/>
      <c r="L208" s="976"/>
      <c r="M208" s="976"/>
      <c r="N208" s="976"/>
      <c r="O208" s="976"/>
      <c r="P208" s="976"/>
      <c r="Q208" s="976"/>
      <c r="R208" s="976"/>
      <c r="S208" s="976"/>
      <c r="T208" s="976"/>
      <c r="U208" s="976"/>
      <c r="V208" s="976"/>
      <c r="W208" s="976"/>
      <c r="X208" s="976"/>
      <c r="Y208" s="976"/>
      <c r="Z208" s="976"/>
    </row>
    <row r="209" spans="1:26" ht="15" x14ac:dyDescent="0.25">
      <c r="A209" s="976"/>
      <c r="B209" s="976"/>
      <c r="C209" s="976"/>
      <c r="D209" s="976"/>
      <c r="E209" s="976"/>
      <c r="F209" s="976"/>
      <c r="G209" s="976"/>
      <c r="H209" s="976"/>
      <c r="I209" s="976"/>
      <c r="J209" s="976"/>
      <c r="K209" s="976"/>
      <c r="L209" s="976"/>
      <c r="M209" s="976"/>
      <c r="N209" s="976"/>
      <c r="O209" s="976"/>
      <c r="P209" s="976"/>
      <c r="Q209" s="976"/>
      <c r="R209" s="976"/>
      <c r="S209" s="976"/>
      <c r="T209" s="976"/>
      <c r="U209" s="976"/>
      <c r="V209" s="976"/>
      <c r="W209" s="976"/>
      <c r="X209" s="976"/>
      <c r="Y209" s="976"/>
      <c r="Z209" s="976"/>
    </row>
    <row r="210" spans="1:26" ht="15" x14ac:dyDescent="0.25">
      <c r="A210" s="976"/>
      <c r="B210" s="976"/>
      <c r="C210" s="976"/>
      <c r="D210" s="976"/>
      <c r="E210" s="976"/>
      <c r="F210" s="976"/>
      <c r="G210" s="976"/>
      <c r="H210" s="976"/>
      <c r="I210" s="976"/>
      <c r="J210" s="976"/>
      <c r="K210" s="976"/>
      <c r="L210" s="976"/>
      <c r="M210" s="976"/>
      <c r="N210" s="976"/>
      <c r="O210" s="976"/>
      <c r="P210" s="976"/>
      <c r="Q210" s="976"/>
      <c r="R210" s="976"/>
      <c r="S210" s="976"/>
      <c r="T210" s="976"/>
      <c r="U210" s="976"/>
      <c r="V210" s="976"/>
      <c r="W210" s="976"/>
      <c r="X210" s="976"/>
      <c r="Y210" s="976"/>
      <c r="Z210" s="976"/>
    </row>
    <row r="211" spans="1:26" ht="15" x14ac:dyDescent="0.25">
      <c r="A211" s="976"/>
      <c r="B211" s="976"/>
      <c r="C211" s="976"/>
      <c r="D211" s="976"/>
      <c r="E211" s="976"/>
      <c r="F211" s="976"/>
      <c r="G211" s="976"/>
      <c r="H211" s="976"/>
      <c r="I211" s="976"/>
      <c r="J211" s="976"/>
      <c r="K211" s="976"/>
      <c r="L211" s="976"/>
      <c r="M211" s="976"/>
      <c r="N211" s="976"/>
      <c r="O211" s="976"/>
      <c r="P211" s="976"/>
      <c r="Q211" s="976"/>
      <c r="R211" s="976"/>
      <c r="S211" s="976"/>
      <c r="T211" s="976"/>
      <c r="U211" s="976"/>
      <c r="V211" s="976"/>
      <c r="W211" s="976"/>
      <c r="X211" s="976"/>
      <c r="Y211" s="976"/>
      <c r="Z211" s="976"/>
    </row>
    <row r="212" spans="1:26" ht="15" x14ac:dyDescent="0.25">
      <c r="A212" s="976"/>
      <c r="B212" s="976"/>
      <c r="C212" s="976"/>
      <c r="D212" s="976"/>
      <c r="E212" s="976"/>
      <c r="F212" s="976"/>
      <c r="G212" s="976"/>
      <c r="H212" s="976"/>
      <c r="I212" s="976"/>
      <c r="J212" s="976"/>
      <c r="K212" s="976"/>
      <c r="L212" s="976"/>
      <c r="M212" s="976"/>
      <c r="N212" s="976"/>
      <c r="O212" s="976"/>
      <c r="P212" s="976"/>
      <c r="Q212" s="976"/>
      <c r="R212" s="976"/>
      <c r="S212" s="976"/>
      <c r="T212" s="976"/>
      <c r="U212" s="976"/>
      <c r="V212" s="976"/>
      <c r="W212" s="976"/>
      <c r="X212" s="976"/>
      <c r="Y212" s="976"/>
      <c r="Z212" s="976"/>
    </row>
    <row r="213" spans="1:26" ht="15" x14ac:dyDescent="0.25">
      <c r="A213" s="976"/>
      <c r="B213" s="976"/>
      <c r="C213" s="976"/>
      <c r="D213" s="976"/>
      <c r="E213" s="976"/>
      <c r="F213" s="976"/>
      <c r="G213" s="976"/>
      <c r="H213" s="976"/>
      <c r="I213" s="976"/>
      <c r="J213" s="976"/>
      <c r="K213" s="976"/>
      <c r="L213" s="976"/>
      <c r="M213" s="976"/>
      <c r="N213" s="976"/>
      <c r="O213" s="976"/>
      <c r="P213" s="976"/>
      <c r="Q213" s="976"/>
      <c r="R213" s="976"/>
      <c r="S213" s="976"/>
      <c r="T213" s="976"/>
      <c r="U213" s="976"/>
      <c r="V213" s="976"/>
      <c r="W213" s="976"/>
      <c r="X213" s="976"/>
      <c r="Y213" s="976"/>
      <c r="Z213" s="976"/>
    </row>
    <row r="214" spans="1:26" ht="15" x14ac:dyDescent="0.25">
      <c r="A214" s="976"/>
      <c r="B214" s="976"/>
      <c r="C214" s="976"/>
      <c r="D214" s="976"/>
      <c r="E214" s="976"/>
      <c r="F214" s="976"/>
      <c r="G214" s="976"/>
      <c r="H214" s="976"/>
      <c r="I214" s="976"/>
      <c r="J214" s="976"/>
      <c r="K214" s="976"/>
      <c r="L214" s="976"/>
      <c r="M214" s="976"/>
      <c r="N214" s="976"/>
      <c r="O214" s="976"/>
      <c r="P214" s="976"/>
      <c r="Q214" s="976"/>
      <c r="R214" s="976"/>
      <c r="S214" s="976"/>
      <c r="T214" s="976"/>
      <c r="U214" s="976"/>
      <c r="V214" s="976"/>
      <c r="W214" s="976"/>
      <c r="X214" s="976"/>
      <c r="Y214" s="976"/>
      <c r="Z214" s="976"/>
    </row>
    <row r="215" spans="1:26" ht="15" x14ac:dyDescent="0.25">
      <c r="A215" s="976"/>
      <c r="B215" s="976"/>
      <c r="C215" s="976"/>
      <c r="D215" s="976"/>
      <c r="E215" s="976"/>
      <c r="F215" s="976"/>
      <c r="G215" s="976"/>
      <c r="H215" s="976"/>
      <c r="I215" s="976"/>
      <c r="J215" s="976"/>
      <c r="K215" s="976"/>
      <c r="L215" s="976"/>
      <c r="M215" s="976"/>
      <c r="N215" s="976"/>
      <c r="O215" s="976"/>
      <c r="P215" s="976"/>
      <c r="Q215" s="976"/>
      <c r="R215" s="976"/>
      <c r="S215" s="976"/>
      <c r="T215" s="976"/>
      <c r="U215" s="976"/>
      <c r="V215" s="976"/>
      <c r="W215" s="976"/>
      <c r="X215" s="976"/>
      <c r="Y215" s="976"/>
      <c r="Z215" s="976"/>
    </row>
    <row r="216" spans="1:26" ht="15" x14ac:dyDescent="0.25">
      <c r="A216" s="976"/>
      <c r="B216" s="976"/>
      <c r="C216" s="976"/>
      <c r="D216" s="976"/>
      <c r="E216" s="976"/>
      <c r="F216" s="976"/>
      <c r="G216" s="976"/>
      <c r="H216" s="976"/>
      <c r="I216" s="976"/>
      <c r="J216" s="976"/>
      <c r="K216" s="976"/>
      <c r="L216" s="976"/>
      <c r="M216" s="976"/>
      <c r="N216" s="976"/>
      <c r="O216" s="976"/>
      <c r="P216" s="976"/>
      <c r="Q216" s="976"/>
      <c r="R216" s="976"/>
      <c r="S216" s="976"/>
      <c r="T216" s="976"/>
      <c r="U216" s="976"/>
      <c r="V216" s="976"/>
      <c r="W216" s="976"/>
      <c r="X216" s="976"/>
      <c r="Y216" s="976"/>
      <c r="Z216" s="976"/>
    </row>
    <row r="217" spans="1:26" ht="15" x14ac:dyDescent="0.25">
      <c r="A217" s="976"/>
      <c r="B217" s="976"/>
      <c r="C217" s="976"/>
      <c r="D217" s="976"/>
      <c r="E217" s="976"/>
      <c r="F217" s="976"/>
      <c r="G217" s="976"/>
      <c r="H217" s="976"/>
      <c r="I217" s="976"/>
      <c r="J217" s="976"/>
      <c r="K217" s="976"/>
      <c r="L217" s="976"/>
      <c r="M217" s="976"/>
      <c r="N217" s="976"/>
      <c r="O217" s="976"/>
      <c r="P217" s="976"/>
      <c r="Q217" s="976"/>
      <c r="R217" s="976"/>
      <c r="S217" s="976"/>
      <c r="T217" s="976"/>
      <c r="U217" s="976"/>
      <c r="V217" s="976"/>
      <c r="W217" s="976"/>
      <c r="X217" s="976"/>
      <c r="Y217" s="976"/>
      <c r="Z217" s="976"/>
    </row>
    <row r="218" spans="1:26" ht="15" x14ac:dyDescent="0.25">
      <c r="A218" s="976"/>
      <c r="B218" s="976"/>
      <c r="C218" s="976"/>
      <c r="D218" s="976"/>
      <c r="E218" s="976"/>
      <c r="F218" s="976"/>
      <c r="G218" s="976"/>
      <c r="H218" s="976"/>
      <c r="I218" s="976"/>
      <c r="J218" s="976"/>
      <c r="K218" s="976"/>
      <c r="L218" s="976"/>
      <c r="M218" s="976"/>
      <c r="N218" s="976"/>
      <c r="O218" s="976"/>
      <c r="P218" s="976"/>
      <c r="Q218" s="976"/>
      <c r="R218" s="976"/>
      <c r="S218" s="976"/>
      <c r="T218" s="976"/>
      <c r="U218" s="976"/>
      <c r="V218" s="976"/>
      <c r="W218" s="976"/>
      <c r="X218" s="976"/>
      <c r="Y218" s="976"/>
      <c r="Z218" s="976"/>
    </row>
    <row r="219" spans="1:26" ht="15" x14ac:dyDescent="0.25">
      <c r="A219" s="976"/>
      <c r="B219" s="976"/>
      <c r="C219" s="976"/>
      <c r="D219" s="976"/>
      <c r="E219" s="976"/>
      <c r="F219" s="976"/>
      <c r="G219" s="976"/>
      <c r="H219" s="976"/>
      <c r="I219" s="976"/>
      <c r="J219" s="976"/>
      <c r="K219" s="976"/>
      <c r="L219" s="976"/>
      <c r="M219" s="976"/>
      <c r="N219" s="976"/>
      <c r="O219" s="976"/>
      <c r="P219" s="976"/>
      <c r="Q219" s="976"/>
      <c r="R219" s="976"/>
      <c r="S219" s="976"/>
      <c r="T219" s="976"/>
      <c r="U219" s="976"/>
      <c r="V219" s="976"/>
      <c r="W219" s="976"/>
      <c r="X219" s="976"/>
      <c r="Y219" s="976"/>
      <c r="Z219" s="976"/>
    </row>
    <row r="220" spans="1:26" ht="15" x14ac:dyDescent="0.25">
      <c r="A220" s="976"/>
      <c r="B220" s="976"/>
      <c r="C220" s="976"/>
      <c r="D220" s="976"/>
      <c r="E220" s="976"/>
      <c r="F220" s="976"/>
      <c r="G220" s="976"/>
      <c r="H220" s="976"/>
      <c r="I220" s="976"/>
      <c r="J220" s="976"/>
      <c r="K220" s="976"/>
      <c r="L220" s="976"/>
      <c r="M220" s="976"/>
      <c r="N220" s="976"/>
      <c r="O220" s="976"/>
      <c r="P220" s="976"/>
      <c r="Q220" s="976"/>
      <c r="R220" s="976"/>
      <c r="S220" s="976"/>
      <c r="T220" s="976"/>
      <c r="U220" s="976"/>
      <c r="V220" s="976"/>
      <c r="W220" s="976"/>
      <c r="X220" s="976"/>
      <c r="Y220" s="976"/>
      <c r="Z220" s="976"/>
    </row>
    <row r="221" spans="1:26" ht="15" x14ac:dyDescent="0.25">
      <c r="A221" s="976"/>
      <c r="B221" s="976"/>
      <c r="C221" s="976"/>
      <c r="D221" s="976"/>
      <c r="E221" s="976"/>
      <c r="F221" s="976"/>
      <c r="G221" s="976"/>
      <c r="H221" s="976"/>
      <c r="I221" s="976"/>
      <c r="J221" s="976"/>
      <c r="K221" s="976"/>
      <c r="L221" s="976"/>
      <c r="M221" s="976"/>
      <c r="N221" s="976"/>
      <c r="O221" s="976"/>
      <c r="P221" s="976"/>
      <c r="Q221" s="976"/>
      <c r="R221" s="976"/>
      <c r="S221" s="976"/>
      <c r="T221" s="976"/>
      <c r="U221" s="976"/>
      <c r="V221" s="976"/>
      <c r="W221" s="976"/>
      <c r="X221" s="976"/>
      <c r="Y221" s="976"/>
      <c r="Z221" s="976"/>
    </row>
    <row r="222" spans="1:26" ht="15" x14ac:dyDescent="0.25">
      <c r="A222" s="976"/>
      <c r="B222" s="976"/>
      <c r="C222" s="976"/>
      <c r="D222" s="976"/>
      <c r="E222" s="976"/>
      <c r="F222" s="976"/>
      <c r="G222" s="976"/>
      <c r="H222" s="976"/>
      <c r="I222" s="976"/>
      <c r="J222" s="976"/>
      <c r="K222" s="976"/>
      <c r="L222" s="976"/>
      <c r="M222" s="976"/>
      <c r="N222" s="976"/>
      <c r="O222" s="976"/>
      <c r="P222" s="976"/>
      <c r="Q222" s="976"/>
      <c r="R222" s="976"/>
      <c r="S222" s="976"/>
      <c r="T222" s="976"/>
      <c r="U222" s="976"/>
      <c r="V222" s="976"/>
      <c r="W222" s="976"/>
      <c r="X222" s="976"/>
      <c r="Y222" s="976"/>
      <c r="Z222" s="976"/>
    </row>
    <row r="223" spans="1:26" ht="15" x14ac:dyDescent="0.25">
      <c r="A223" s="976"/>
      <c r="B223" s="976"/>
      <c r="C223" s="976"/>
      <c r="D223" s="976"/>
      <c r="E223" s="976"/>
      <c r="F223" s="976"/>
      <c r="G223" s="976"/>
      <c r="H223" s="976"/>
      <c r="I223" s="976"/>
      <c r="J223" s="976"/>
      <c r="K223" s="976"/>
      <c r="L223" s="976"/>
      <c r="M223" s="976"/>
      <c r="N223" s="976"/>
      <c r="O223" s="976"/>
      <c r="P223" s="976"/>
      <c r="Q223" s="976"/>
      <c r="R223" s="976"/>
      <c r="S223" s="976"/>
      <c r="T223" s="976"/>
      <c r="U223" s="976"/>
      <c r="V223" s="976"/>
      <c r="W223" s="976"/>
      <c r="X223" s="976"/>
      <c r="Y223" s="976"/>
      <c r="Z223" s="976"/>
    </row>
    <row r="224" spans="1:26" ht="15" x14ac:dyDescent="0.25">
      <c r="A224" s="976"/>
      <c r="B224" s="976"/>
      <c r="C224" s="976"/>
      <c r="D224" s="976"/>
      <c r="E224" s="976"/>
      <c r="F224" s="976"/>
      <c r="G224" s="976"/>
      <c r="H224" s="976"/>
      <c r="I224" s="976"/>
      <c r="J224" s="976"/>
      <c r="K224" s="976"/>
      <c r="L224" s="976"/>
      <c r="M224" s="976"/>
      <c r="N224" s="976"/>
      <c r="O224" s="976"/>
      <c r="P224" s="976"/>
      <c r="Q224" s="976"/>
      <c r="R224" s="976"/>
      <c r="S224" s="976"/>
      <c r="T224" s="976"/>
      <c r="U224" s="976"/>
      <c r="V224" s="976"/>
      <c r="W224" s="976"/>
      <c r="X224" s="976"/>
      <c r="Y224" s="976"/>
      <c r="Z224" s="976"/>
    </row>
    <row r="225" spans="1:26" ht="15" x14ac:dyDescent="0.25">
      <c r="A225" s="976"/>
      <c r="B225" s="976"/>
      <c r="C225" s="976"/>
      <c r="D225" s="976"/>
      <c r="E225" s="976"/>
      <c r="F225" s="976"/>
      <c r="G225" s="976"/>
      <c r="H225" s="976"/>
      <c r="I225" s="976"/>
      <c r="J225" s="976"/>
      <c r="K225" s="976"/>
      <c r="L225" s="976"/>
      <c r="M225" s="976"/>
      <c r="N225" s="976"/>
      <c r="O225" s="976"/>
      <c r="P225" s="976"/>
      <c r="Q225" s="976"/>
      <c r="R225" s="976"/>
      <c r="S225" s="976"/>
      <c r="T225" s="976"/>
      <c r="U225" s="976"/>
      <c r="V225" s="976"/>
      <c r="W225" s="976"/>
      <c r="X225" s="976"/>
      <c r="Y225" s="976"/>
      <c r="Z225" s="976"/>
    </row>
    <row r="226" spans="1:26" ht="15" x14ac:dyDescent="0.25">
      <c r="A226" s="976"/>
      <c r="B226" s="976"/>
      <c r="C226" s="976"/>
      <c r="D226" s="976"/>
      <c r="E226" s="976"/>
      <c r="F226" s="976"/>
      <c r="G226" s="976"/>
      <c r="H226" s="976"/>
      <c r="I226" s="976"/>
      <c r="J226" s="976"/>
      <c r="K226" s="976"/>
      <c r="L226" s="976"/>
      <c r="M226" s="976"/>
      <c r="N226" s="976"/>
      <c r="O226" s="976"/>
      <c r="P226" s="976"/>
      <c r="Q226" s="976"/>
      <c r="R226" s="976"/>
      <c r="S226" s="976"/>
      <c r="T226" s="976"/>
      <c r="U226" s="976"/>
      <c r="V226" s="976"/>
      <c r="W226" s="976"/>
      <c r="X226" s="976"/>
      <c r="Y226" s="976"/>
      <c r="Z226" s="976"/>
    </row>
    <row r="227" spans="1:26" ht="15" x14ac:dyDescent="0.25">
      <c r="A227" s="976"/>
      <c r="B227" s="976"/>
      <c r="C227" s="976"/>
      <c r="D227" s="976"/>
      <c r="E227" s="976"/>
      <c r="F227" s="976"/>
      <c r="G227" s="976"/>
      <c r="H227" s="976"/>
      <c r="I227" s="976"/>
      <c r="J227" s="976"/>
      <c r="K227" s="976"/>
      <c r="L227" s="976"/>
      <c r="M227" s="976"/>
      <c r="N227" s="976"/>
      <c r="O227" s="976"/>
      <c r="P227" s="976"/>
      <c r="Q227" s="976"/>
      <c r="R227" s="976"/>
      <c r="S227" s="976"/>
      <c r="T227" s="976"/>
      <c r="U227" s="976"/>
      <c r="V227" s="976"/>
      <c r="W227" s="976"/>
      <c r="X227" s="976"/>
      <c r="Y227" s="976"/>
      <c r="Z227" s="976"/>
    </row>
    <row r="228" spans="1:26" ht="15" x14ac:dyDescent="0.25">
      <c r="A228" s="976"/>
      <c r="B228" s="976"/>
      <c r="C228" s="976"/>
      <c r="D228" s="976"/>
      <c r="E228" s="976"/>
      <c r="F228" s="976"/>
      <c r="G228" s="976"/>
      <c r="H228" s="976"/>
      <c r="I228" s="976"/>
      <c r="J228" s="976"/>
      <c r="K228" s="976"/>
      <c r="L228" s="976"/>
      <c r="M228" s="976"/>
      <c r="N228" s="976"/>
      <c r="O228" s="976"/>
      <c r="P228" s="976"/>
      <c r="Q228" s="976"/>
      <c r="R228" s="976"/>
      <c r="S228" s="976"/>
      <c r="T228" s="976"/>
      <c r="U228" s="976"/>
      <c r="V228" s="976"/>
      <c r="W228" s="976"/>
      <c r="X228" s="976"/>
      <c r="Y228" s="976"/>
      <c r="Z228" s="976"/>
    </row>
    <row r="229" spans="1:26" ht="15" x14ac:dyDescent="0.25">
      <c r="A229" s="976"/>
      <c r="B229" s="976"/>
      <c r="C229" s="976"/>
      <c r="D229" s="976"/>
      <c r="E229" s="976"/>
      <c r="F229" s="976"/>
      <c r="G229" s="976"/>
      <c r="H229" s="976"/>
      <c r="I229" s="976"/>
      <c r="J229" s="976"/>
      <c r="K229" s="976"/>
      <c r="L229" s="976"/>
      <c r="M229" s="976"/>
      <c r="N229" s="976"/>
      <c r="O229" s="976"/>
      <c r="P229" s="976"/>
      <c r="Q229" s="976"/>
      <c r="R229" s="976"/>
      <c r="S229" s="976"/>
      <c r="T229" s="976"/>
      <c r="U229" s="976"/>
      <c r="V229" s="976"/>
      <c r="W229" s="976"/>
      <c r="X229" s="976"/>
      <c r="Y229" s="976"/>
      <c r="Z229" s="976"/>
    </row>
    <row r="230" spans="1:26" ht="15" x14ac:dyDescent="0.25">
      <c r="A230" s="976"/>
      <c r="B230" s="976"/>
      <c r="C230" s="976"/>
      <c r="D230" s="976"/>
      <c r="E230" s="976"/>
      <c r="F230" s="976"/>
      <c r="G230" s="976"/>
      <c r="H230" s="976"/>
      <c r="I230" s="976"/>
      <c r="J230" s="976"/>
      <c r="K230" s="976"/>
      <c r="L230" s="976"/>
      <c r="M230" s="976"/>
      <c r="N230" s="976"/>
      <c r="O230" s="976"/>
      <c r="P230" s="976"/>
      <c r="Q230" s="976"/>
      <c r="R230" s="976"/>
      <c r="S230" s="976"/>
      <c r="T230" s="976"/>
      <c r="U230" s="976"/>
      <c r="V230" s="976"/>
      <c r="W230" s="976"/>
      <c r="X230" s="976"/>
      <c r="Y230" s="976"/>
      <c r="Z230" s="976"/>
    </row>
    <row r="231" spans="1:26" ht="15" x14ac:dyDescent="0.25">
      <c r="A231" s="976"/>
      <c r="B231" s="976"/>
      <c r="C231" s="976"/>
      <c r="D231" s="976"/>
      <c r="E231" s="976"/>
      <c r="F231" s="976"/>
      <c r="G231" s="976"/>
      <c r="H231" s="976"/>
      <c r="I231" s="976"/>
      <c r="J231" s="976"/>
      <c r="K231" s="976"/>
      <c r="L231" s="976"/>
      <c r="M231" s="976"/>
      <c r="N231" s="976"/>
      <c r="O231" s="976"/>
      <c r="P231" s="976"/>
      <c r="Q231" s="976"/>
      <c r="R231" s="976"/>
      <c r="S231" s="976"/>
      <c r="T231" s="976"/>
      <c r="U231" s="976"/>
      <c r="V231" s="976"/>
      <c r="W231" s="976"/>
      <c r="X231" s="976"/>
      <c r="Y231" s="976"/>
      <c r="Z231" s="976"/>
    </row>
    <row r="232" spans="1:26" ht="15" x14ac:dyDescent="0.25">
      <c r="A232" s="976"/>
      <c r="B232" s="976"/>
      <c r="C232" s="976"/>
      <c r="D232" s="976"/>
      <c r="E232" s="976"/>
      <c r="F232" s="976"/>
      <c r="G232" s="976"/>
      <c r="H232" s="976"/>
      <c r="I232" s="976"/>
      <c r="J232" s="976"/>
      <c r="K232" s="976"/>
      <c r="L232" s="976"/>
      <c r="M232" s="976"/>
      <c r="N232" s="976"/>
      <c r="O232" s="976"/>
      <c r="P232" s="976"/>
      <c r="Q232" s="976"/>
      <c r="R232" s="976"/>
      <c r="S232" s="976"/>
      <c r="T232" s="976"/>
      <c r="U232" s="976"/>
      <c r="V232" s="976"/>
      <c r="W232" s="976"/>
      <c r="X232" s="976"/>
      <c r="Y232" s="976"/>
      <c r="Z232" s="976"/>
    </row>
    <row r="233" spans="1:26" ht="15" x14ac:dyDescent="0.25">
      <c r="A233" s="976"/>
      <c r="B233" s="976"/>
      <c r="C233" s="976"/>
      <c r="D233" s="976"/>
      <c r="E233" s="976"/>
      <c r="F233" s="976"/>
      <c r="G233" s="976"/>
      <c r="H233" s="976"/>
      <c r="I233" s="976"/>
      <c r="J233" s="976"/>
      <c r="K233" s="976"/>
      <c r="L233" s="976"/>
      <c r="M233" s="976"/>
      <c r="N233" s="976"/>
      <c r="O233" s="976"/>
      <c r="P233" s="976"/>
      <c r="Q233" s="976"/>
      <c r="R233" s="976"/>
      <c r="S233" s="976"/>
      <c r="T233" s="976"/>
      <c r="U233" s="976"/>
      <c r="V233" s="976"/>
      <c r="W233" s="976"/>
      <c r="X233" s="976"/>
      <c r="Y233" s="976"/>
      <c r="Z233" s="976"/>
    </row>
    <row r="234" spans="1:26" ht="15" x14ac:dyDescent="0.25">
      <c r="A234" s="976"/>
      <c r="B234" s="976"/>
      <c r="C234" s="976"/>
      <c r="D234" s="976"/>
      <c r="E234" s="976"/>
      <c r="F234" s="976"/>
      <c r="G234" s="976"/>
      <c r="H234" s="976"/>
      <c r="I234" s="976"/>
      <c r="J234" s="976"/>
      <c r="K234" s="976"/>
      <c r="L234" s="976"/>
      <c r="M234" s="976"/>
      <c r="N234" s="976"/>
      <c r="O234" s="976"/>
      <c r="P234" s="976"/>
      <c r="Q234" s="976"/>
      <c r="R234" s="976"/>
      <c r="S234" s="976"/>
      <c r="T234" s="976"/>
      <c r="U234" s="976"/>
      <c r="V234" s="976"/>
      <c r="W234" s="976"/>
      <c r="X234" s="976"/>
      <c r="Y234" s="976"/>
      <c r="Z234" s="976"/>
    </row>
    <row r="235" spans="1:26" ht="15" x14ac:dyDescent="0.25">
      <c r="A235" s="976"/>
      <c r="B235" s="976"/>
      <c r="C235" s="976"/>
      <c r="D235" s="976"/>
      <c r="E235" s="976"/>
      <c r="F235" s="976"/>
      <c r="G235" s="976"/>
      <c r="H235" s="976"/>
      <c r="I235" s="976"/>
      <c r="J235" s="976"/>
      <c r="K235" s="976"/>
      <c r="L235" s="976"/>
      <c r="M235" s="976"/>
      <c r="N235" s="976"/>
      <c r="O235" s="976"/>
      <c r="P235" s="976"/>
      <c r="Q235" s="976"/>
      <c r="R235" s="976"/>
      <c r="S235" s="976"/>
      <c r="T235" s="976"/>
      <c r="U235" s="976"/>
      <c r="V235" s="976"/>
      <c r="W235" s="976"/>
      <c r="X235" s="976"/>
      <c r="Y235" s="976"/>
      <c r="Z235" s="976"/>
    </row>
    <row r="236" spans="1:26" ht="15" x14ac:dyDescent="0.25">
      <c r="A236" s="976"/>
      <c r="B236" s="976"/>
      <c r="C236" s="976"/>
      <c r="D236" s="976"/>
      <c r="E236" s="976"/>
      <c r="F236" s="976"/>
      <c r="G236" s="976"/>
      <c r="H236" s="976"/>
      <c r="I236" s="976"/>
      <c r="J236" s="976"/>
      <c r="K236" s="976"/>
      <c r="L236" s="976"/>
      <c r="M236" s="976"/>
      <c r="N236" s="976"/>
      <c r="O236" s="976"/>
      <c r="P236" s="976"/>
      <c r="Q236" s="976"/>
      <c r="R236" s="976"/>
      <c r="S236" s="976"/>
      <c r="T236" s="976"/>
      <c r="U236" s="976"/>
      <c r="V236" s="976"/>
      <c r="W236" s="976"/>
      <c r="X236" s="976"/>
      <c r="Y236" s="976"/>
      <c r="Z236" s="976"/>
    </row>
    <row r="237" spans="1:26" ht="15" x14ac:dyDescent="0.25">
      <c r="A237" s="976"/>
      <c r="B237" s="976"/>
      <c r="C237" s="976"/>
      <c r="D237" s="976"/>
      <c r="E237" s="976"/>
      <c r="F237" s="976"/>
      <c r="G237" s="976"/>
      <c r="H237" s="976"/>
      <c r="I237" s="976"/>
      <c r="J237" s="976"/>
      <c r="K237" s="976"/>
      <c r="L237" s="976"/>
      <c r="M237" s="976"/>
      <c r="N237" s="976"/>
      <c r="O237" s="976"/>
      <c r="P237" s="976"/>
      <c r="Q237" s="976"/>
      <c r="R237" s="976"/>
      <c r="S237" s="976"/>
      <c r="T237" s="976"/>
      <c r="U237" s="976"/>
      <c r="V237" s="976"/>
      <c r="W237" s="976"/>
      <c r="X237" s="976"/>
      <c r="Y237" s="976"/>
      <c r="Z237" s="976"/>
    </row>
    <row r="238" spans="1:26" ht="15" x14ac:dyDescent="0.25">
      <c r="A238" s="976"/>
      <c r="B238" s="976"/>
      <c r="C238" s="976"/>
      <c r="D238" s="976"/>
      <c r="E238" s="976"/>
      <c r="F238" s="976"/>
      <c r="G238" s="976"/>
      <c r="H238" s="976"/>
      <c r="I238" s="976"/>
      <c r="J238" s="976"/>
      <c r="K238" s="976"/>
      <c r="L238" s="976"/>
      <c r="M238" s="976"/>
      <c r="N238" s="976"/>
      <c r="O238" s="976"/>
      <c r="P238" s="976"/>
      <c r="Q238" s="976"/>
      <c r="R238" s="976"/>
      <c r="S238" s="976"/>
      <c r="T238" s="976"/>
      <c r="U238" s="976"/>
      <c r="V238" s="976"/>
      <c r="W238" s="976"/>
      <c r="X238" s="976"/>
      <c r="Y238" s="976"/>
      <c r="Z238" s="976"/>
    </row>
    <row r="239" spans="1:26" ht="15" x14ac:dyDescent="0.25">
      <c r="A239" s="976"/>
      <c r="B239" s="976"/>
      <c r="C239" s="976"/>
      <c r="D239" s="976"/>
      <c r="E239" s="976"/>
      <c r="F239" s="976"/>
      <c r="G239" s="976"/>
      <c r="H239" s="976"/>
      <c r="I239" s="976"/>
      <c r="J239" s="976"/>
      <c r="K239" s="976"/>
      <c r="L239" s="976"/>
      <c r="M239" s="976"/>
      <c r="N239" s="976"/>
      <c r="O239" s="976"/>
      <c r="P239" s="976"/>
      <c r="Q239" s="976"/>
      <c r="R239" s="976"/>
      <c r="S239" s="976"/>
      <c r="T239" s="976"/>
      <c r="U239" s="976"/>
      <c r="V239" s="976"/>
      <c r="W239" s="976"/>
      <c r="X239" s="976"/>
      <c r="Y239" s="976"/>
      <c r="Z239" s="976"/>
    </row>
    <row r="240" spans="1:26" ht="15" x14ac:dyDescent="0.25">
      <c r="A240" s="976"/>
      <c r="B240" s="976"/>
      <c r="C240" s="976"/>
      <c r="D240" s="976"/>
      <c r="E240" s="976"/>
      <c r="F240" s="976"/>
      <c r="G240" s="976"/>
      <c r="H240" s="976"/>
      <c r="I240" s="976"/>
      <c r="J240" s="976"/>
      <c r="K240" s="976"/>
      <c r="L240" s="976"/>
      <c r="M240" s="976"/>
      <c r="N240" s="976"/>
      <c r="O240" s="976"/>
      <c r="P240" s="976"/>
      <c r="Q240" s="976"/>
      <c r="R240" s="976"/>
      <c r="S240" s="976"/>
      <c r="T240" s="976"/>
      <c r="U240" s="976"/>
      <c r="V240" s="976"/>
      <c r="W240" s="976"/>
      <c r="X240" s="976"/>
      <c r="Y240" s="976"/>
      <c r="Z240" s="976"/>
    </row>
    <row r="241" spans="1:26" ht="15" x14ac:dyDescent="0.25">
      <c r="A241" s="976"/>
      <c r="B241" s="976"/>
      <c r="C241" s="976"/>
      <c r="D241" s="976"/>
      <c r="E241" s="976"/>
      <c r="F241" s="976"/>
      <c r="G241" s="976"/>
      <c r="H241" s="976"/>
      <c r="I241" s="976"/>
      <c r="J241" s="976"/>
      <c r="K241" s="976"/>
      <c r="L241" s="976"/>
      <c r="M241" s="976"/>
      <c r="N241" s="976"/>
      <c r="O241" s="976"/>
      <c r="P241" s="976"/>
      <c r="Q241" s="976"/>
      <c r="R241" s="976"/>
      <c r="S241" s="976"/>
      <c r="T241" s="976"/>
      <c r="U241" s="976"/>
      <c r="V241" s="976"/>
      <c r="W241" s="976"/>
      <c r="X241" s="976"/>
      <c r="Y241" s="976"/>
      <c r="Z241" s="976"/>
    </row>
    <row r="242" spans="1:26" ht="15" x14ac:dyDescent="0.25">
      <c r="A242" s="976"/>
      <c r="B242" s="976"/>
      <c r="C242" s="976"/>
      <c r="D242" s="976"/>
      <c r="E242" s="976"/>
      <c r="F242" s="976"/>
      <c r="G242" s="976"/>
      <c r="H242" s="976"/>
      <c r="I242" s="976"/>
      <c r="J242" s="976"/>
      <c r="K242" s="976"/>
      <c r="L242" s="976"/>
      <c r="M242" s="976"/>
      <c r="N242" s="976"/>
      <c r="O242" s="976"/>
      <c r="P242" s="976"/>
      <c r="Q242" s="976"/>
      <c r="R242" s="976"/>
      <c r="S242" s="976"/>
      <c r="T242" s="976"/>
      <c r="U242" s="976"/>
      <c r="V242" s="976"/>
      <c r="W242" s="976"/>
      <c r="X242" s="976"/>
      <c r="Y242" s="976"/>
      <c r="Z242" s="976"/>
    </row>
    <row r="243" spans="1:26" ht="15" x14ac:dyDescent="0.25">
      <c r="A243" s="976"/>
      <c r="B243" s="976"/>
      <c r="C243" s="976"/>
      <c r="D243" s="976"/>
      <c r="E243" s="976"/>
      <c r="F243" s="976"/>
      <c r="G243" s="976"/>
      <c r="H243" s="976"/>
      <c r="I243" s="976"/>
      <c r="J243" s="976"/>
      <c r="K243" s="976"/>
      <c r="L243" s="976"/>
      <c r="M243" s="976"/>
      <c r="N243" s="976"/>
      <c r="O243" s="976"/>
      <c r="P243" s="976"/>
      <c r="Q243" s="976"/>
      <c r="R243" s="976"/>
      <c r="S243" s="976"/>
      <c r="T243" s="976"/>
      <c r="U243" s="976"/>
      <c r="V243" s="976"/>
      <c r="W243" s="976"/>
      <c r="X243" s="976"/>
      <c r="Y243" s="976"/>
      <c r="Z243" s="976"/>
    </row>
    <row r="244" spans="1:26" ht="15" x14ac:dyDescent="0.25">
      <c r="A244" s="976"/>
      <c r="B244" s="976"/>
      <c r="C244" s="976"/>
      <c r="D244" s="976"/>
      <c r="E244" s="976"/>
      <c r="F244" s="976"/>
      <c r="G244" s="976"/>
      <c r="H244" s="976"/>
      <c r="I244" s="976"/>
      <c r="J244" s="976"/>
      <c r="K244" s="976"/>
      <c r="L244" s="976"/>
      <c r="M244" s="976"/>
      <c r="N244" s="976"/>
      <c r="O244" s="976"/>
      <c r="P244" s="976"/>
      <c r="Q244" s="976"/>
      <c r="R244" s="976"/>
      <c r="S244" s="976"/>
      <c r="T244" s="976"/>
      <c r="U244" s="976"/>
      <c r="V244" s="976"/>
      <c r="W244" s="976"/>
      <c r="X244" s="976"/>
      <c r="Y244" s="976"/>
      <c r="Z244" s="976"/>
    </row>
    <row r="245" spans="1:26" ht="15" x14ac:dyDescent="0.25">
      <c r="A245" s="976"/>
      <c r="B245" s="976"/>
      <c r="C245" s="976"/>
      <c r="D245" s="976"/>
      <c r="E245" s="976"/>
      <c r="F245" s="976"/>
      <c r="G245" s="976"/>
      <c r="H245" s="976"/>
      <c r="I245" s="976"/>
      <c r="J245" s="976"/>
      <c r="K245" s="976"/>
      <c r="L245" s="976"/>
      <c r="M245" s="976"/>
      <c r="N245" s="976"/>
      <c r="O245" s="976"/>
      <c r="P245" s="976"/>
      <c r="Q245" s="976"/>
      <c r="R245" s="976"/>
      <c r="S245" s="976"/>
      <c r="T245" s="976"/>
      <c r="U245" s="976"/>
      <c r="V245" s="976"/>
      <c r="W245" s="976"/>
      <c r="X245" s="976"/>
      <c r="Y245" s="976"/>
      <c r="Z245" s="976"/>
    </row>
    <row r="246" spans="1:26" ht="15" x14ac:dyDescent="0.25">
      <c r="A246" s="976"/>
      <c r="B246" s="976"/>
      <c r="C246" s="976"/>
      <c r="D246" s="976"/>
      <c r="E246" s="976"/>
      <c r="F246" s="976"/>
      <c r="G246" s="976"/>
      <c r="H246" s="976"/>
      <c r="I246" s="976"/>
      <c r="J246" s="976"/>
      <c r="K246" s="976"/>
      <c r="L246" s="976"/>
      <c r="M246" s="976"/>
      <c r="N246" s="976"/>
      <c r="O246" s="976"/>
      <c r="P246" s="976"/>
      <c r="Q246" s="976"/>
      <c r="R246" s="976"/>
      <c r="S246" s="976"/>
      <c r="T246" s="976"/>
      <c r="U246" s="976"/>
      <c r="V246" s="976"/>
      <c r="W246" s="976"/>
      <c r="X246" s="976"/>
      <c r="Y246" s="976"/>
      <c r="Z246" s="976"/>
    </row>
    <row r="247" spans="1:26" ht="15" x14ac:dyDescent="0.25">
      <c r="A247" s="976"/>
      <c r="B247" s="976"/>
      <c r="C247" s="976"/>
      <c r="D247" s="976"/>
      <c r="E247" s="976"/>
      <c r="F247" s="976"/>
      <c r="G247" s="976"/>
      <c r="H247" s="976"/>
      <c r="I247" s="976"/>
      <c r="J247" s="976"/>
      <c r="K247" s="976"/>
      <c r="L247" s="976"/>
      <c r="M247" s="976"/>
      <c r="N247" s="976"/>
      <c r="O247" s="976"/>
      <c r="P247" s="976"/>
      <c r="Q247" s="976"/>
      <c r="R247" s="976"/>
      <c r="S247" s="976"/>
      <c r="T247" s="976"/>
      <c r="U247" s="976"/>
      <c r="V247" s="976"/>
      <c r="W247" s="976"/>
      <c r="X247" s="976"/>
      <c r="Y247" s="976"/>
      <c r="Z247" s="976"/>
    </row>
    <row r="248" spans="1:26" ht="15" x14ac:dyDescent="0.25">
      <c r="A248" s="976"/>
      <c r="B248" s="976"/>
      <c r="C248" s="976"/>
      <c r="D248" s="976"/>
      <c r="E248" s="976"/>
      <c r="F248" s="976"/>
      <c r="G248" s="976"/>
      <c r="H248" s="976"/>
      <c r="I248" s="976"/>
      <c r="J248" s="976"/>
      <c r="K248" s="976"/>
      <c r="L248" s="976"/>
      <c r="M248" s="976"/>
      <c r="N248" s="976"/>
      <c r="O248" s="976"/>
      <c r="P248" s="976"/>
      <c r="Q248" s="976"/>
      <c r="R248" s="976"/>
      <c r="S248" s="976"/>
      <c r="T248" s="976"/>
      <c r="U248" s="976"/>
      <c r="V248" s="976"/>
      <c r="W248" s="976"/>
      <c r="X248" s="976"/>
      <c r="Y248" s="976"/>
      <c r="Z248" s="976"/>
    </row>
    <row r="249" spans="1:26" ht="15" x14ac:dyDescent="0.25">
      <c r="A249" s="976"/>
      <c r="B249" s="976"/>
      <c r="C249" s="976"/>
      <c r="D249" s="976"/>
      <c r="E249" s="976"/>
      <c r="F249" s="976"/>
      <c r="G249" s="976"/>
      <c r="H249" s="976"/>
      <c r="I249" s="976"/>
      <c r="J249" s="976"/>
      <c r="K249" s="976"/>
      <c r="L249" s="976"/>
      <c r="M249" s="976"/>
      <c r="N249" s="976"/>
      <c r="O249" s="976"/>
      <c r="P249" s="976"/>
      <c r="Q249" s="976"/>
      <c r="R249" s="976"/>
      <c r="S249" s="976"/>
      <c r="T249" s="976"/>
      <c r="U249" s="976"/>
      <c r="V249" s="976"/>
      <c r="W249" s="976"/>
      <c r="X249" s="976"/>
      <c r="Y249" s="976"/>
      <c r="Z249" s="976"/>
    </row>
    <row r="250" spans="1:26" ht="15" x14ac:dyDescent="0.25">
      <c r="A250" s="976"/>
      <c r="B250" s="976"/>
      <c r="C250" s="976"/>
      <c r="D250" s="976"/>
      <c r="E250" s="976"/>
      <c r="F250" s="976"/>
      <c r="G250" s="976"/>
      <c r="H250" s="976"/>
      <c r="I250" s="976"/>
      <c r="J250" s="976"/>
      <c r="K250" s="976"/>
      <c r="L250" s="976"/>
      <c r="M250" s="976"/>
      <c r="N250" s="976"/>
      <c r="O250" s="976"/>
      <c r="P250" s="976"/>
      <c r="Q250" s="976"/>
      <c r="R250" s="976"/>
      <c r="S250" s="976"/>
      <c r="T250" s="976"/>
      <c r="U250" s="976"/>
      <c r="V250" s="976"/>
      <c r="W250" s="976"/>
      <c r="X250" s="976"/>
      <c r="Y250" s="976"/>
      <c r="Z250" s="976"/>
    </row>
    <row r="251" spans="1:26" ht="15" x14ac:dyDescent="0.25">
      <c r="A251" s="976"/>
      <c r="B251" s="976"/>
      <c r="C251" s="976"/>
      <c r="D251" s="976"/>
      <c r="E251" s="976"/>
      <c r="F251" s="976"/>
      <c r="G251" s="976"/>
      <c r="H251" s="976"/>
      <c r="I251" s="976"/>
      <c r="J251" s="976"/>
      <c r="K251" s="976"/>
      <c r="L251" s="976"/>
      <c r="M251" s="976"/>
      <c r="N251" s="976"/>
      <c r="O251" s="976"/>
      <c r="P251" s="976"/>
      <c r="Q251" s="976"/>
      <c r="R251" s="976"/>
      <c r="S251" s="976"/>
      <c r="T251" s="976"/>
      <c r="U251" s="976"/>
      <c r="V251" s="976"/>
      <c r="W251" s="976"/>
      <c r="X251" s="976"/>
      <c r="Y251" s="976"/>
      <c r="Z251" s="976"/>
    </row>
    <row r="252" spans="1:26" ht="15" x14ac:dyDescent="0.25">
      <c r="A252" s="976"/>
      <c r="B252" s="976"/>
      <c r="C252" s="976"/>
      <c r="D252" s="976"/>
      <c r="E252" s="976"/>
      <c r="F252" s="976"/>
      <c r="G252" s="976"/>
      <c r="H252" s="976"/>
      <c r="I252" s="976"/>
      <c r="J252" s="976"/>
      <c r="K252" s="976"/>
      <c r="L252" s="976"/>
      <c r="M252" s="976"/>
      <c r="N252" s="976"/>
      <c r="O252" s="976"/>
      <c r="P252" s="976"/>
      <c r="Q252" s="976"/>
      <c r="R252" s="976"/>
      <c r="S252" s="976"/>
      <c r="T252" s="976"/>
      <c r="U252" s="976"/>
      <c r="V252" s="976"/>
      <c r="W252" s="976"/>
      <c r="X252" s="976"/>
      <c r="Y252" s="976"/>
      <c r="Z252" s="976"/>
    </row>
    <row r="253" spans="1:26" ht="15" x14ac:dyDescent="0.25">
      <c r="A253" s="976"/>
      <c r="B253" s="976"/>
      <c r="C253" s="976"/>
      <c r="D253" s="976"/>
      <c r="E253" s="976"/>
      <c r="F253" s="976"/>
      <c r="G253" s="976"/>
      <c r="H253" s="976"/>
      <c r="I253" s="976"/>
      <c r="J253" s="976"/>
      <c r="K253" s="976"/>
      <c r="L253" s="976"/>
      <c r="M253" s="976"/>
      <c r="N253" s="976"/>
      <c r="O253" s="976"/>
      <c r="P253" s="976"/>
      <c r="Q253" s="976"/>
      <c r="R253" s="976"/>
      <c r="S253" s="976"/>
      <c r="T253" s="976"/>
      <c r="U253" s="976"/>
      <c r="V253" s="976"/>
      <c r="W253" s="976"/>
      <c r="X253" s="976"/>
      <c r="Y253" s="976"/>
      <c r="Z253" s="976"/>
    </row>
    <row r="254" spans="1:26" ht="15" x14ac:dyDescent="0.25">
      <c r="A254" s="976"/>
      <c r="B254" s="976"/>
      <c r="C254" s="976"/>
      <c r="D254" s="976"/>
      <c r="E254" s="976"/>
      <c r="F254" s="976"/>
      <c r="G254" s="976"/>
      <c r="H254" s="976"/>
      <c r="I254" s="976"/>
      <c r="J254" s="976"/>
      <c r="K254" s="976"/>
      <c r="L254" s="976"/>
      <c r="M254" s="976"/>
      <c r="N254" s="976"/>
      <c r="O254" s="976"/>
      <c r="P254" s="976"/>
      <c r="Q254" s="976"/>
      <c r="R254" s="976"/>
      <c r="S254" s="976"/>
      <c r="T254" s="976"/>
      <c r="U254" s="976"/>
      <c r="V254" s="976"/>
      <c r="W254" s="976"/>
      <c r="X254" s="976"/>
      <c r="Y254" s="976"/>
      <c r="Z254" s="976"/>
    </row>
    <row r="255" spans="1:26" ht="15" x14ac:dyDescent="0.25">
      <c r="A255" s="976"/>
      <c r="B255" s="976"/>
      <c r="C255" s="976"/>
      <c r="D255" s="976"/>
      <c r="E255" s="976"/>
      <c r="F255" s="976"/>
      <c r="G255" s="976"/>
      <c r="H255" s="976"/>
      <c r="I255" s="976"/>
      <c r="J255" s="976"/>
      <c r="K255" s="976"/>
      <c r="L255" s="976"/>
      <c r="M255" s="976"/>
      <c r="N255" s="976"/>
      <c r="O255" s="976"/>
      <c r="P255" s="976"/>
      <c r="Q255" s="976"/>
      <c r="R255" s="976"/>
      <c r="S255" s="976"/>
      <c r="T255" s="976"/>
      <c r="U255" s="976"/>
      <c r="V255" s="976"/>
      <c r="W255" s="976"/>
      <c r="X255" s="976"/>
      <c r="Y255" s="976"/>
      <c r="Z255" s="976"/>
    </row>
    <row r="256" spans="1:26" ht="15" x14ac:dyDescent="0.25">
      <c r="A256" s="976"/>
      <c r="B256" s="976"/>
      <c r="C256" s="976"/>
      <c r="D256" s="976"/>
      <c r="E256" s="976"/>
      <c r="F256" s="976"/>
      <c r="G256" s="976"/>
      <c r="H256" s="976"/>
      <c r="I256" s="976"/>
      <c r="J256" s="976"/>
      <c r="K256" s="976"/>
      <c r="L256" s="976"/>
      <c r="M256" s="976"/>
      <c r="N256" s="976"/>
      <c r="O256" s="976"/>
      <c r="P256" s="976"/>
      <c r="Q256" s="976"/>
      <c r="R256" s="976"/>
      <c r="S256" s="976"/>
      <c r="T256" s="976"/>
      <c r="U256" s="976"/>
      <c r="V256" s="976"/>
      <c r="W256" s="976"/>
      <c r="X256" s="976"/>
      <c r="Y256" s="976"/>
      <c r="Z256" s="976"/>
    </row>
    <row r="257" spans="1:26" ht="15" x14ac:dyDescent="0.25">
      <c r="A257" s="976"/>
      <c r="B257" s="976"/>
      <c r="C257" s="976"/>
      <c r="D257" s="976"/>
      <c r="E257" s="976"/>
      <c r="F257" s="976"/>
      <c r="G257" s="976"/>
      <c r="H257" s="976"/>
      <c r="I257" s="976"/>
      <c r="J257" s="976"/>
      <c r="K257" s="976"/>
      <c r="L257" s="976"/>
      <c r="M257" s="976"/>
      <c r="N257" s="976"/>
      <c r="O257" s="976"/>
      <c r="P257" s="976"/>
      <c r="Q257" s="976"/>
      <c r="R257" s="976"/>
      <c r="S257" s="976"/>
      <c r="T257" s="976"/>
      <c r="U257" s="976"/>
      <c r="V257" s="976"/>
      <c r="W257" s="976"/>
      <c r="X257" s="976"/>
      <c r="Y257" s="976"/>
      <c r="Z257" s="976"/>
    </row>
    <row r="258" spans="1:26" ht="15" x14ac:dyDescent="0.25">
      <c r="A258" s="976"/>
      <c r="B258" s="976"/>
      <c r="C258" s="976"/>
      <c r="D258" s="976"/>
      <c r="E258" s="976"/>
      <c r="F258" s="976"/>
      <c r="G258" s="976"/>
      <c r="H258" s="976"/>
      <c r="I258" s="976"/>
      <c r="J258" s="976"/>
      <c r="K258" s="976"/>
      <c r="L258" s="976"/>
      <c r="M258" s="976"/>
      <c r="N258" s="976"/>
      <c r="O258" s="976"/>
      <c r="P258" s="976"/>
      <c r="Q258" s="976"/>
      <c r="R258" s="976"/>
      <c r="S258" s="976"/>
      <c r="T258" s="976"/>
      <c r="U258" s="976"/>
      <c r="V258" s="976"/>
      <c r="W258" s="976"/>
      <c r="X258" s="976"/>
      <c r="Y258" s="976"/>
      <c r="Z258" s="976"/>
    </row>
    <row r="259" spans="1:26" ht="15" x14ac:dyDescent="0.25">
      <c r="A259" s="976"/>
      <c r="B259" s="976"/>
      <c r="C259" s="976"/>
      <c r="D259" s="976"/>
      <c r="E259" s="976"/>
      <c r="F259" s="976"/>
      <c r="G259" s="976"/>
      <c r="H259" s="976"/>
      <c r="I259" s="976"/>
      <c r="J259" s="976"/>
      <c r="K259" s="976"/>
      <c r="L259" s="976"/>
      <c r="M259" s="976"/>
      <c r="N259" s="976"/>
      <c r="O259" s="976"/>
      <c r="P259" s="976"/>
      <c r="Q259" s="976"/>
      <c r="R259" s="976"/>
      <c r="S259" s="976"/>
      <c r="T259" s="976"/>
      <c r="U259" s="976"/>
      <c r="V259" s="976"/>
      <c r="W259" s="976"/>
      <c r="X259" s="976"/>
      <c r="Y259" s="976"/>
      <c r="Z259" s="976"/>
    </row>
    <row r="260" spans="1:26" ht="15" x14ac:dyDescent="0.25">
      <c r="A260" s="976"/>
      <c r="B260" s="976"/>
      <c r="C260" s="976"/>
      <c r="D260" s="976"/>
      <c r="E260" s="976"/>
      <c r="F260" s="976"/>
      <c r="G260" s="976"/>
      <c r="H260" s="976"/>
      <c r="I260" s="976"/>
      <c r="J260" s="976"/>
      <c r="K260" s="976"/>
      <c r="L260" s="976"/>
      <c r="M260" s="976"/>
      <c r="N260" s="976"/>
      <c r="O260" s="976"/>
      <c r="P260" s="976"/>
      <c r="Q260" s="976"/>
      <c r="R260" s="976"/>
      <c r="S260" s="976"/>
      <c r="T260" s="976"/>
      <c r="U260" s="976"/>
      <c r="V260" s="976"/>
      <c r="W260" s="976"/>
      <c r="X260" s="976"/>
      <c r="Y260" s="976"/>
      <c r="Z260" s="976"/>
    </row>
    <row r="261" spans="1:26" ht="15" x14ac:dyDescent="0.25">
      <c r="A261" s="976"/>
      <c r="B261" s="976"/>
      <c r="C261" s="976"/>
      <c r="D261" s="976"/>
      <c r="E261" s="976"/>
      <c r="F261" s="976"/>
      <c r="G261" s="976"/>
      <c r="H261" s="976"/>
      <c r="I261" s="976"/>
      <c r="J261" s="976"/>
      <c r="K261" s="976"/>
      <c r="L261" s="976"/>
      <c r="M261" s="976"/>
      <c r="N261" s="976"/>
      <c r="O261" s="976"/>
      <c r="P261" s="976"/>
      <c r="Q261" s="976"/>
      <c r="R261" s="976"/>
      <c r="S261" s="976"/>
      <c r="T261" s="976"/>
      <c r="U261" s="976"/>
      <c r="V261" s="976"/>
      <c r="W261" s="976"/>
      <c r="X261" s="976"/>
      <c r="Y261" s="976"/>
      <c r="Z261" s="976"/>
    </row>
    <row r="262" spans="1:26" ht="15" x14ac:dyDescent="0.25">
      <c r="A262" s="976"/>
      <c r="B262" s="976"/>
      <c r="C262" s="976"/>
      <c r="D262" s="976"/>
      <c r="E262" s="976"/>
      <c r="F262" s="976"/>
      <c r="G262" s="976"/>
      <c r="H262" s="976"/>
      <c r="I262" s="976"/>
      <c r="J262" s="976"/>
      <c r="K262" s="976"/>
      <c r="L262" s="976"/>
      <c r="M262" s="976"/>
      <c r="N262" s="976"/>
      <c r="O262" s="976"/>
      <c r="P262" s="976"/>
      <c r="Q262" s="976"/>
      <c r="R262" s="976"/>
      <c r="S262" s="976"/>
      <c r="T262" s="976"/>
      <c r="U262" s="976"/>
      <c r="V262" s="976"/>
      <c r="W262" s="976"/>
      <c r="X262" s="976"/>
      <c r="Y262" s="976"/>
      <c r="Z262" s="976"/>
    </row>
    <row r="263" spans="1:26" ht="15" x14ac:dyDescent="0.25">
      <c r="A263" s="976"/>
      <c r="B263" s="976"/>
      <c r="C263" s="976"/>
      <c r="D263" s="976"/>
      <c r="E263" s="976"/>
      <c r="F263" s="976"/>
      <c r="G263" s="976"/>
      <c r="H263" s="976"/>
      <c r="I263" s="976"/>
      <c r="J263" s="976"/>
      <c r="K263" s="976"/>
      <c r="L263" s="976"/>
      <c r="M263" s="976"/>
      <c r="N263" s="976"/>
      <c r="O263" s="976"/>
      <c r="P263" s="976"/>
      <c r="Q263" s="976"/>
      <c r="R263" s="976"/>
      <c r="S263" s="976"/>
      <c r="T263" s="976"/>
      <c r="U263" s="976"/>
      <c r="V263" s="976"/>
      <c r="W263" s="976"/>
      <c r="X263" s="976"/>
      <c r="Y263" s="976"/>
      <c r="Z263" s="976"/>
    </row>
    <row r="264" spans="1:26" ht="15" x14ac:dyDescent="0.25">
      <c r="A264" s="976"/>
      <c r="B264" s="976"/>
      <c r="C264" s="976"/>
      <c r="D264" s="976"/>
      <c r="E264" s="976"/>
      <c r="F264" s="976"/>
      <c r="G264" s="976"/>
      <c r="H264" s="976"/>
      <c r="I264" s="976"/>
      <c r="J264" s="976"/>
      <c r="K264" s="976"/>
      <c r="L264" s="976"/>
      <c r="M264" s="976"/>
      <c r="N264" s="976"/>
      <c r="O264" s="976"/>
      <c r="P264" s="976"/>
      <c r="Q264" s="976"/>
      <c r="R264" s="976"/>
      <c r="S264" s="976"/>
      <c r="T264" s="976"/>
      <c r="U264" s="976"/>
      <c r="V264" s="976"/>
      <c r="W264" s="976"/>
      <c r="X264" s="976"/>
      <c r="Y264" s="976"/>
      <c r="Z264" s="976"/>
    </row>
    <row r="265" spans="1:26" ht="15" x14ac:dyDescent="0.25">
      <c r="A265" s="976"/>
      <c r="B265" s="976"/>
      <c r="C265" s="976"/>
      <c r="D265" s="976"/>
      <c r="E265" s="976"/>
      <c r="F265" s="976"/>
      <c r="G265" s="976"/>
      <c r="H265" s="976"/>
      <c r="I265" s="976"/>
      <c r="J265" s="976"/>
      <c r="K265" s="976"/>
      <c r="L265" s="976"/>
      <c r="M265" s="976"/>
      <c r="N265" s="976"/>
      <c r="O265" s="976"/>
      <c r="P265" s="976"/>
      <c r="Q265" s="976"/>
      <c r="R265" s="976"/>
      <c r="S265" s="976"/>
      <c r="T265" s="976"/>
      <c r="U265" s="976"/>
      <c r="V265" s="976"/>
      <c r="W265" s="976"/>
      <c r="X265" s="976"/>
      <c r="Y265" s="976"/>
      <c r="Z265" s="976"/>
    </row>
    <row r="266" spans="1:26" ht="15" x14ac:dyDescent="0.25">
      <c r="A266" s="976"/>
      <c r="B266" s="976"/>
      <c r="C266" s="976"/>
      <c r="D266" s="976"/>
      <c r="E266" s="976"/>
      <c r="F266" s="976"/>
      <c r="G266" s="976"/>
      <c r="H266" s="976"/>
      <c r="I266" s="976"/>
      <c r="J266" s="976"/>
      <c r="K266" s="976"/>
      <c r="L266" s="976"/>
      <c r="M266" s="976"/>
      <c r="N266" s="976"/>
      <c r="O266" s="976"/>
      <c r="P266" s="976"/>
      <c r="Q266" s="976"/>
      <c r="R266" s="976"/>
      <c r="S266" s="976"/>
      <c r="T266" s="976"/>
      <c r="U266" s="976"/>
      <c r="V266" s="976"/>
      <c r="W266" s="976"/>
      <c r="X266" s="976"/>
      <c r="Y266" s="976"/>
      <c r="Z266" s="976"/>
    </row>
    <row r="267" spans="1:26" ht="15" x14ac:dyDescent="0.25">
      <c r="A267" s="976"/>
      <c r="B267" s="976"/>
      <c r="C267" s="976"/>
      <c r="D267" s="976"/>
      <c r="E267" s="976"/>
      <c r="F267" s="976"/>
      <c r="G267" s="976"/>
      <c r="H267" s="976"/>
      <c r="I267" s="976"/>
      <c r="J267" s="976"/>
      <c r="K267" s="976"/>
      <c r="L267" s="976"/>
      <c r="M267" s="976"/>
      <c r="N267" s="976"/>
      <c r="O267" s="976"/>
      <c r="P267" s="976"/>
      <c r="Q267" s="976"/>
      <c r="R267" s="976"/>
      <c r="S267" s="976"/>
      <c r="T267" s="976"/>
      <c r="U267" s="976"/>
      <c r="V267" s="976"/>
      <c r="W267" s="976"/>
      <c r="X267" s="976"/>
      <c r="Y267" s="976"/>
      <c r="Z267" s="976"/>
    </row>
    <row r="268" spans="1:26" ht="15" x14ac:dyDescent="0.25">
      <c r="A268" s="976"/>
      <c r="B268" s="976"/>
      <c r="C268" s="976"/>
      <c r="D268" s="976"/>
      <c r="E268" s="976"/>
      <c r="F268" s="976"/>
      <c r="G268" s="976"/>
      <c r="H268" s="976"/>
      <c r="I268" s="976"/>
      <c r="J268" s="976"/>
      <c r="K268" s="976"/>
      <c r="L268" s="976"/>
      <c r="M268" s="976"/>
      <c r="N268" s="976"/>
      <c r="O268" s="976"/>
      <c r="P268" s="976"/>
      <c r="Q268" s="976"/>
      <c r="R268" s="976"/>
      <c r="S268" s="976"/>
      <c r="T268" s="976"/>
      <c r="U268" s="976"/>
      <c r="V268" s="976"/>
      <c r="W268" s="976"/>
      <c r="X268" s="976"/>
      <c r="Y268" s="976"/>
      <c r="Z268" s="976"/>
    </row>
    <row r="269" spans="1:26" ht="15" x14ac:dyDescent="0.25">
      <c r="A269" s="976"/>
      <c r="B269" s="976"/>
      <c r="C269" s="976"/>
      <c r="D269" s="976"/>
      <c r="E269" s="976"/>
      <c r="F269" s="976"/>
      <c r="G269" s="976"/>
      <c r="H269" s="976"/>
      <c r="I269" s="976"/>
      <c r="J269" s="976"/>
      <c r="K269" s="976"/>
      <c r="L269" s="976"/>
      <c r="M269" s="976"/>
      <c r="N269" s="976"/>
      <c r="O269" s="976"/>
      <c r="P269" s="976"/>
      <c r="Q269" s="976"/>
      <c r="R269" s="976"/>
      <c r="S269" s="976"/>
      <c r="T269" s="976"/>
      <c r="U269" s="976"/>
      <c r="V269" s="976"/>
      <c r="W269" s="976"/>
      <c r="X269" s="976"/>
      <c r="Y269" s="976"/>
      <c r="Z269" s="976"/>
    </row>
    <row r="270" spans="1:26" ht="15" x14ac:dyDescent="0.25">
      <c r="A270" s="976"/>
      <c r="B270" s="976"/>
      <c r="C270" s="976"/>
      <c r="D270" s="976"/>
      <c r="E270" s="976"/>
      <c r="F270" s="976"/>
      <c r="G270" s="976"/>
      <c r="H270" s="976"/>
      <c r="I270" s="976"/>
      <c r="J270" s="976"/>
      <c r="K270" s="976"/>
      <c r="L270" s="976"/>
      <c r="M270" s="976"/>
      <c r="N270" s="976"/>
      <c r="O270" s="976"/>
      <c r="P270" s="976"/>
      <c r="Q270" s="976"/>
      <c r="R270" s="976"/>
      <c r="S270" s="976"/>
      <c r="T270" s="976"/>
      <c r="U270" s="976"/>
      <c r="V270" s="976"/>
      <c r="W270" s="976"/>
      <c r="X270" s="976"/>
      <c r="Y270" s="976"/>
      <c r="Z270" s="976"/>
    </row>
    <row r="271" spans="1:26" ht="15" x14ac:dyDescent="0.25">
      <c r="A271" s="976"/>
      <c r="B271" s="976"/>
      <c r="C271" s="976"/>
      <c r="D271" s="976"/>
      <c r="E271" s="976"/>
      <c r="F271" s="976"/>
      <c r="G271" s="976"/>
      <c r="H271" s="976"/>
      <c r="I271" s="976"/>
      <c r="J271" s="976"/>
      <c r="K271" s="976"/>
      <c r="L271" s="976"/>
      <c r="M271" s="976"/>
      <c r="N271" s="976"/>
      <c r="O271" s="976"/>
      <c r="P271" s="976"/>
      <c r="Q271" s="976"/>
      <c r="R271" s="976"/>
      <c r="S271" s="976"/>
      <c r="T271" s="976"/>
      <c r="U271" s="976"/>
      <c r="V271" s="976"/>
      <c r="W271" s="976"/>
      <c r="X271" s="976"/>
      <c r="Y271" s="976"/>
      <c r="Z271" s="976"/>
    </row>
    <row r="272" spans="1:26" ht="15" x14ac:dyDescent="0.25">
      <c r="A272" s="976"/>
      <c r="B272" s="976"/>
      <c r="C272" s="976"/>
      <c r="D272" s="976"/>
      <c r="E272" s="976"/>
      <c r="F272" s="976"/>
      <c r="G272" s="976"/>
      <c r="H272" s="976"/>
      <c r="I272" s="976"/>
      <c r="J272" s="976"/>
      <c r="K272" s="976"/>
      <c r="L272" s="976"/>
      <c r="M272" s="976"/>
      <c r="N272" s="976"/>
      <c r="O272" s="976"/>
      <c r="P272" s="976"/>
      <c r="Q272" s="976"/>
      <c r="R272" s="976"/>
      <c r="S272" s="976"/>
      <c r="T272" s="976"/>
      <c r="U272" s="976"/>
      <c r="V272" s="976"/>
      <c r="W272" s="976"/>
      <c r="X272" s="976"/>
      <c r="Y272" s="976"/>
      <c r="Z272" s="976"/>
    </row>
    <row r="273" spans="1:26" ht="15" x14ac:dyDescent="0.25">
      <c r="A273" s="976"/>
      <c r="B273" s="976"/>
      <c r="C273" s="976"/>
      <c r="D273" s="976"/>
      <c r="E273" s="976"/>
      <c r="F273" s="976"/>
      <c r="G273" s="976"/>
      <c r="H273" s="976"/>
      <c r="I273" s="976"/>
      <c r="J273" s="976"/>
      <c r="K273" s="976"/>
      <c r="L273" s="976"/>
      <c r="M273" s="976"/>
      <c r="N273" s="976"/>
      <c r="O273" s="976"/>
      <c r="P273" s="976"/>
      <c r="Q273" s="976"/>
      <c r="R273" s="976"/>
      <c r="S273" s="976"/>
      <c r="T273" s="976"/>
      <c r="U273" s="976"/>
      <c r="V273" s="976"/>
      <c r="W273" s="976"/>
      <c r="X273" s="976"/>
      <c r="Y273" s="976"/>
      <c r="Z273" s="976"/>
    </row>
    <row r="274" spans="1:26" ht="15" x14ac:dyDescent="0.25">
      <c r="A274" s="976"/>
      <c r="B274" s="976"/>
      <c r="C274" s="976"/>
      <c r="D274" s="976"/>
      <c r="E274" s="976"/>
      <c r="F274" s="976"/>
      <c r="G274" s="976"/>
      <c r="H274" s="976"/>
      <c r="I274" s="976"/>
      <c r="J274" s="976"/>
      <c r="K274" s="976"/>
      <c r="L274" s="976"/>
      <c r="M274" s="976"/>
      <c r="N274" s="976"/>
      <c r="O274" s="976"/>
      <c r="P274" s="976"/>
      <c r="Q274" s="976"/>
      <c r="R274" s="976"/>
      <c r="S274" s="976"/>
      <c r="T274" s="976"/>
      <c r="U274" s="976"/>
      <c r="V274" s="976"/>
      <c r="W274" s="976"/>
      <c r="X274" s="976"/>
      <c r="Y274" s="976"/>
      <c r="Z274" s="976"/>
    </row>
    <row r="275" spans="1:26" ht="15" x14ac:dyDescent="0.25">
      <c r="A275" s="976"/>
      <c r="B275" s="976"/>
      <c r="C275" s="976"/>
      <c r="D275" s="976"/>
      <c r="E275" s="976"/>
      <c r="F275" s="976"/>
      <c r="G275" s="976"/>
      <c r="H275" s="976"/>
      <c r="I275" s="976"/>
      <c r="J275" s="976"/>
      <c r="K275" s="976"/>
      <c r="L275" s="976"/>
      <c r="M275" s="976"/>
      <c r="N275" s="976"/>
      <c r="O275" s="976"/>
      <c r="P275" s="976"/>
      <c r="Q275" s="976"/>
      <c r="R275" s="976"/>
      <c r="S275" s="976"/>
      <c r="T275" s="976"/>
      <c r="U275" s="976"/>
      <c r="V275" s="976"/>
      <c r="W275" s="976"/>
      <c r="X275" s="976"/>
      <c r="Y275" s="976"/>
      <c r="Z275" s="976"/>
    </row>
    <row r="276" spans="1:26" ht="15" x14ac:dyDescent="0.25">
      <c r="A276" s="976"/>
      <c r="B276" s="976"/>
      <c r="C276" s="976"/>
      <c r="D276" s="976"/>
      <c r="E276" s="976"/>
      <c r="F276" s="976"/>
      <c r="G276" s="976"/>
      <c r="H276" s="976"/>
      <c r="I276" s="976"/>
      <c r="J276" s="976"/>
      <c r="K276" s="976"/>
      <c r="L276" s="976"/>
      <c r="M276" s="976"/>
      <c r="N276" s="976"/>
      <c r="O276" s="976"/>
      <c r="P276" s="976"/>
      <c r="Q276" s="976"/>
      <c r="R276" s="976"/>
      <c r="S276" s="976"/>
      <c r="T276" s="976"/>
      <c r="U276" s="976"/>
      <c r="V276" s="976"/>
      <c r="W276" s="976"/>
      <c r="X276" s="976"/>
      <c r="Y276" s="976"/>
      <c r="Z276" s="976"/>
    </row>
    <row r="277" spans="1:26" ht="15" x14ac:dyDescent="0.25">
      <c r="A277" s="976"/>
      <c r="B277" s="976"/>
      <c r="C277" s="976"/>
      <c r="D277" s="976"/>
      <c r="E277" s="976"/>
      <c r="F277" s="976"/>
      <c r="G277" s="976"/>
      <c r="H277" s="976"/>
      <c r="I277" s="976"/>
      <c r="J277" s="976"/>
      <c r="K277" s="976"/>
      <c r="L277" s="976"/>
      <c r="M277" s="976"/>
      <c r="N277" s="976"/>
      <c r="O277" s="976"/>
      <c r="P277" s="976"/>
      <c r="Q277" s="976"/>
      <c r="R277" s="976"/>
      <c r="S277" s="976"/>
      <c r="T277" s="976"/>
      <c r="U277" s="976"/>
      <c r="V277" s="976"/>
      <c r="W277" s="976"/>
      <c r="X277" s="976"/>
      <c r="Y277" s="976"/>
      <c r="Z277" s="976"/>
    </row>
    <row r="278" spans="1:26" ht="15" x14ac:dyDescent="0.25">
      <c r="A278" s="976"/>
      <c r="B278" s="976"/>
      <c r="C278" s="976"/>
      <c r="D278" s="976"/>
      <c r="E278" s="976"/>
      <c r="F278" s="976"/>
      <c r="G278" s="976"/>
      <c r="H278" s="976"/>
      <c r="I278" s="976"/>
      <c r="J278" s="976"/>
      <c r="K278" s="976"/>
      <c r="L278" s="976"/>
      <c r="M278" s="976"/>
      <c r="N278" s="976"/>
      <c r="O278" s="976"/>
      <c r="P278" s="976"/>
      <c r="Q278" s="976"/>
      <c r="R278" s="976"/>
      <c r="S278" s="976"/>
      <c r="T278" s="976"/>
      <c r="U278" s="976"/>
      <c r="V278" s="976"/>
      <c r="W278" s="976"/>
      <c r="X278" s="976"/>
      <c r="Y278" s="976"/>
      <c r="Z278" s="976"/>
    </row>
    <row r="279" spans="1:26" ht="15" x14ac:dyDescent="0.25">
      <c r="A279" s="976"/>
      <c r="B279" s="976"/>
      <c r="C279" s="976"/>
      <c r="D279" s="976"/>
      <c r="E279" s="976"/>
      <c r="F279" s="976"/>
      <c r="G279" s="976"/>
      <c r="H279" s="976"/>
      <c r="I279" s="976"/>
      <c r="J279" s="976"/>
      <c r="K279" s="976"/>
      <c r="L279" s="976"/>
      <c r="M279" s="976"/>
      <c r="N279" s="976"/>
      <c r="O279" s="976"/>
      <c r="P279" s="976"/>
      <c r="Q279" s="976"/>
      <c r="R279" s="976"/>
      <c r="S279" s="976"/>
      <c r="T279" s="976"/>
      <c r="U279" s="976"/>
      <c r="V279" s="976"/>
      <c r="W279" s="976"/>
      <c r="X279" s="976"/>
      <c r="Y279" s="976"/>
      <c r="Z279" s="976"/>
    </row>
    <row r="280" spans="1:26" ht="15" x14ac:dyDescent="0.25">
      <c r="A280" s="976"/>
      <c r="B280" s="976"/>
      <c r="C280" s="976"/>
      <c r="D280" s="976"/>
      <c r="E280" s="976"/>
      <c r="F280" s="976"/>
      <c r="G280" s="976"/>
      <c r="H280" s="976"/>
      <c r="I280" s="976"/>
      <c r="J280" s="976"/>
      <c r="K280" s="976"/>
      <c r="L280" s="976"/>
      <c r="M280" s="976"/>
      <c r="N280" s="976"/>
      <c r="O280" s="976"/>
      <c r="P280" s="976"/>
      <c r="Q280" s="976"/>
      <c r="R280" s="976"/>
      <c r="S280" s="976"/>
      <c r="T280" s="976"/>
      <c r="U280" s="976"/>
      <c r="V280" s="976"/>
      <c r="W280" s="976"/>
      <c r="X280" s="976"/>
      <c r="Y280" s="976"/>
      <c r="Z280" s="976"/>
    </row>
    <row r="281" spans="1:26" ht="15" x14ac:dyDescent="0.25">
      <c r="A281" s="976"/>
      <c r="B281" s="976"/>
      <c r="C281" s="976"/>
      <c r="D281" s="976"/>
      <c r="E281" s="976"/>
      <c r="F281" s="976"/>
      <c r="G281" s="976"/>
      <c r="H281" s="976"/>
      <c r="I281" s="976"/>
      <c r="J281" s="976"/>
      <c r="K281" s="976"/>
      <c r="L281" s="976"/>
      <c r="M281" s="976"/>
      <c r="N281" s="976"/>
      <c r="O281" s="976"/>
      <c r="P281" s="976"/>
      <c r="Q281" s="976"/>
      <c r="R281" s="976"/>
      <c r="S281" s="976"/>
      <c r="T281" s="976"/>
      <c r="U281" s="976"/>
      <c r="V281" s="976"/>
      <c r="W281" s="976"/>
      <c r="X281" s="976"/>
      <c r="Y281" s="976"/>
      <c r="Z281" s="976"/>
    </row>
    <row r="282" spans="1:26" ht="15" x14ac:dyDescent="0.25">
      <c r="A282" s="976"/>
      <c r="B282" s="976"/>
      <c r="C282" s="976"/>
      <c r="D282" s="976"/>
      <c r="E282" s="976"/>
      <c r="F282" s="976"/>
      <c r="G282" s="976"/>
      <c r="H282" s="976"/>
      <c r="I282" s="976"/>
      <c r="J282" s="976"/>
      <c r="K282" s="976"/>
      <c r="L282" s="976"/>
      <c r="M282" s="976"/>
      <c r="N282" s="976"/>
      <c r="O282" s="976"/>
      <c r="P282" s="976"/>
      <c r="Q282" s="976"/>
      <c r="R282" s="976"/>
      <c r="S282" s="976"/>
      <c r="T282" s="976"/>
      <c r="U282" s="976"/>
      <c r="V282" s="976"/>
      <c r="W282" s="976"/>
      <c r="X282" s="976"/>
      <c r="Y282" s="976"/>
      <c r="Z282" s="976"/>
    </row>
    <row r="283" spans="1:26" ht="15" x14ac:dyDescent="0.25">
      <c r="A283" s="976"/>
      <c r="B283" s="976"/>
      <c r="C283" s="976"/>
      <c r="D283" s="976"/>
      <c r="E283" s="976"/>
      <c r="F283" s="976"/>
      <c r="G283" s="976"/>
      <c r="H283" s="976"/>
      <c r="I283" s="976"/>
      <c r="J283" s="976"/>
      <c r="K283" s="976"/>
      <c r="L283" s="976"/>
      <c r="M283" s="976"/>
      <c r="N283" s="976"/>
      <c r="O283" s="976"/>
      <c r="P283" s="976"/>
      <c r="Q283" s="976"/>
      <c r="R283" s="976"/>
      <c r="S283" s="976"/>
      <c r="T283" s="976"/>
      <c r="U283" s="976"/>
      <c r="V283" s="976"/>
      <c r="W283" s="976"/>
      <c r="X283" s="976"/>
      <c r="Y283" s="976"/>
      <c r="Z283" s="976"/>
    </row>
    <row r="284" spans="1:26" ht="15" x14ac:dyDescent="0.25">
      <c r="A284" s="976"/>
      <c r="B284" s="976"/>
      <c r="C284" s="976"/>
      <c r="D284" s="976"/>
      <c r="E284" s="976"/>
      <c r="F284" s="976"/>
      <c r="G284" s="976"/>
      <c r="H284" s="976"/>
      <c r="I284" s="976"/>
      <c r="J284" s="976"/>
      <c r="K284" s="976"/>
      <c r="L284" s="976"/>
      <c r="M284" s="976"/>
      <c r="N284" s="976"/>
      <c r="O284" s="976"/>
      <c r="P284" s="976"/>
      <c r="Q284" s="976"/>
      <c r="R284" s="976"/>
      <c r="S284" s="976"/>
      <c r="T284" s="976"/>
      <c r="U284" s="976"/>
      <c r="V284" s="976"/>
      <c r="W284" s="976"/>
      <c r="X284" s="976"/>
      <c r="Y284" s="976"/>
      <c r="Z284" s="976"/>
    </row>
    <row r="285" spans="1:26" ht="15" x14ac:dyDescent="0.25">
      <c r="A285" s="976"/>
      <c r="B285" s="976"/>
      <c r="C285" s="976"/>
      <c r="D285" s="976"/>
      <c r="E285" s="976"/>
      <c r="F285" s="976"/>
      <c r="G285" s="976"/>
      <c r="H285" s="976"/>
      <c r="I285" s="976"/>
      <c r="J285" s="976"/>
      <c r="K285" s="976"/>
      <c r="L285" s="976"/>
      <c r="M285" s="976"/>
      <c r="N285" s="976"/>
      <c r="O285" s="976"/>
      <c r="P285" s="976"/>
      <c r="Q285" s="976"/>
      <c r="R285" s="976"/>
      <c r="S285" s="976"/>
      <c r="T285" s="976"/>
      <c r="U285" s="976"/>
      <c r="V285" s="976"/>
      <c r="W285" s="976"/>
      <c r="X285" s="976"/>
      <c r="Y285" s="976"/>
      <c r="Z285" s="976"/>
    </row>
    <row r="286" spans="1:26" ht="15" x14ac:dyDescent="0.25">
      <c r="A286" s="976"/>
      <c r="B286" s="976"/>
      <c r="C286" s="976"/>
      <c r="D286" s="976"/>
      <c r="E286" s="976"/>
      <c r="F286" s="976"/>
      <c r="G286" s="976"/>
      <c r="H286" s="976"/>
      <c r="I286" s="976"/>
      <c r="J286" s="976"/>
      <c r="K286" s="976"/>
      <c r="L286" s="976"/>
      <c r="M286" s="976"/>
      <c r="N286" s="976"/>
      <c r="O286" s="976"/>
      <c r="P286" s="976"/>
      <c r="Q286" s="976"/>
      <c r="R286" s="976"/>
      <c r="S286" s="976"/>
      <c r="T286" s="976"/>
      <c r="U286" s="976"/>
      <c r="V286" s="976"/>
      <c r="W286" s="976"/>
      <c r="X286" s="976"/>
      <c r="Y286" s="976"/>
      <c r="Z286" s="976"/>
    </row>
    <row r="287" spans="1:26" ht="15" x14ac:dyDescent="0.25">
      <c r="A287" s="976"/>
      <c r="B287" s="976"/>
      <c r="C287" s="976"/>
      <c r="D287" s="976"/>
      <c r="E287" s="976"/>
      <c r="F287" s="976"/>
      <c r="G287" s="976"/>
      <c r="H287" s="976"/>
      <c r="I287" s="976"/>
      <c r="J287" s="976"/>
      <c r="K287" s="976"/>
      <c r="L287" s="976"/>
      <c r="M287" s="976"/>
      <c r="N287" s="976"/>
      <c r="O287" s="976"/>
      <c r="P287" s="976"/>
      <c r="Q287" s="976"/>
      <c r="R287" s="976"/>
      <c r="S287" s="976"/>
      <c r="T287" s="976"/>
      <c r="U287" s="976"/>
      <c r="V287" s="976"/>
      <c r="W287" s="976"/>
      <c r="X287" s="976"/>
      <c r="Y287" s="976"/>
      <c r="Z287" s="976"/>
    </row>
    <row r="288" spans="1:26" ht="15" x14ac:dyDescent="0.25">
      <c r="A288" s="976"/>
      <c r="B288" s="976"/>
      <c r="C288" s="976"/>
      <c r="D288" s="976"/>
      <c r="E288" s="976"/>
      <c r="F288" s="976"/>
      <c r="G288" s="976"/>
      <c r="H288" s="976"/>
      <c r="I288" s="976"/>
      <c r="J288" s="976"/>
      <c r="K288" s="976"/>
      <c r="L288" s="976"/>
      <c r="M288" s="976"/>
      <c r="N288" s="976"/>
      <c r="O288" s="976"/>
      <c r="P288" s="976"/>
      <c r="Q288" s="976"/>
      <c r="R288" s="976"/>
      <c r="S288" s="976"/>
      <c r="T288" s="976"/>
      <c r="U288" s="976"/>
      <c r="V288" s="976"/>
      <c r="W288" s="976"/>
      <c r="X288" s="976"/>
      <c r="Y288" s="976"/>
      <c r="Z288" s="976"/>
    </row>
    <row r="289" spans="1:26" ht="15" x14ac:dyDescent="0.25">
      <c r="A289" s="976"/>
      <c r="B289" s="976"/>
      <c r="C289" s="976"/>
      <c r="D289" s="976"/>
      <c r="E289" s="976"/>
      <c r="F289" s="976"/>
      <c r="G289" s="976"/>
      <c r="H289" s="976"/>
      <c r="I289" s="976"/>
      <c r="J289" s="976"/>
      <c r="K289" s="976"/>
      <c r="L289" s="976"/>
      <c r="M289" s="976"/>
      <c r="N289" s="976"/>
      <c r="O289" s="976"/>
      <c r="P289" s="976"/>
      <c r="Q289" s="976"/>
      <c r="R289" s="976"/>
      <c r="S289" s="976"/>
      <c r="T289" s="976"/>
      <c r="U289" s="976"/>
      <c r="V289" s="976"/>
      <c r="W289" s="976"/>
      <c r="X289" s="976"/>
      <c r="Y289" s="976"/>
      <c r="Z289" s="976"/>
    </row>
    <row r="290" spans="1:26" ht="15" x14ac:dyDescent="0.25">
      <c r="A290" s="976"/>
      <c r="B290" s="976"/>
      <c r="C290" s="976"/>
      <c r="D290" s="976"/>
      <c r="E290" s="976"/>
      <c r="F290" s="976"/>
      <c r="G290" s="976"/>
      <c r="H290" s="976"/>
      <c r="I290" s="976"/>
      <c r="J290" s="976"/>
      <c r="K290" s="976"/>
      <c r="L290" s="976"/>
      <c r="M290" s="976"/>
      <c r="N290" s="976"/>
      <c r="O290" s="976"/>
      <c r="P290" s="976"/>
      <c r="Q290" s="976"/>
      <c r="R290" s="976"/>
      <c r="S290" s="976"/>
      <c r="T290" s="976"/>
      <c r="U290" s="976"/>
      <c r="V290" s="976"/>
      <c r="W290" s="976"/>
      <c r="X290" s="976"/>
      <c r="Y290" s="976"/>
      <c r="Z290" s="976"/>
    </row>
    <row r="291" spans="1:26" ht="15" x14ac:dyDescent="0.25">
      <c r="A291" s="976"/>
      <c r="B291" s="976"/>
      <c r="C291" s="976"/>
      <c r="D291" s="976"/>
      <c r="E291" s="976"/>
      <c r="F291" s="976"/>
      <c r="G291" s="976"/>
      <c r="H291" s="976"/>
      <c r="I291" s="976"/>
      <c r="J291" s="976"/>
      <c r="K291" s="976"/>
      <c r="L291" s="976"/>
      <c r="M291" s="976"/>
      <c r="N291" s="976"/>
      <c r="O291" s="976"/>
      <c r="P291" s="976"/>
      <c r="Q291" s="976"/>
      <c r="R291" s="976"/>
      <c r="S291" s="976"/>
      <c r="T291" s="976"/>
      <c r="U291" s="976"/>
      <c r="V291" s="976"/>
      <c r="W291" s="976"/>
      <c r="X291" s="976"/>
      <c r="Y291" s="976"/>
      <c r="Z291" s="976"/>
    </row>
    <row r="292" spans="1:26" ht="15" x14ac:dyDescent="0.25">
      <c r="A292" s="976"/>
      <c r="B292" s="976"/>
      <c r="C292" s="976"/>
      <c r="D292" s="976"/>
      <c r="E292" s="976"/>
      <c r="F292" s="976"/>
      <c r="G292" s="976"/>
      <c r="H292" s="976"/>
      <c r="I292" s="976"/>
      <c r="J292" s="976"/>
      <c r="K292" s="976"/>
      <c r="L292" s="976"/>
      <c r="M292" s="976"/>
      <c r="N292" s="976"/>
      <c r="O292" s="976"/>
      <c r="P292" s="976"/>
      <c r="Q292" s="976"/>
      <c r="R292" s="976"/>
      <c r="S292" s="976"/>
      <c r="T292" s="976"/>
      <c r="U292" s="976"/>
      <c r="V292" s="976"/>
      <c r="W292" s="976"/>
      <c r="X292" s="976"/>
      <c r="Y292" s="976"/>
      <c r="Z292" s="976"/>
    </row>
    <row r="293" spans="1:26" ht="15" x14ac:dyDescent="0.25">
      <c r="A293" s="976"/>
      <c r="B293" s="976"/>
      <c r="C293" s="976"/>
      <c r="D293" s="976"/>
      <c r="E293" s="976"/>
      <c r="F293" s="976"/>
      <c r="G293" s="976"/>
      <c r="H293" s="976"/>
      <c r="I293" s="976"/>
      <c r="J293" s="976"/>
      <c r="K293" s="976"/>
      <c r="L293" s="976"/>
      <c r="M293" s="976"/>
      <c r="N293" s="976"/>
      <c r="O293" s="976"/>
      <c r="P293" s="976"/>
      <c r="Q293" s="976"/>
      <c r="R293" s="976"/>
      <c r="S293" s="976"/>
      <c r="T293" s="976"/>
      <c r="U293" s="976"/>
      <c r="V293" s="976"/>
      <c r="W293" s="976"/>
      <c r="X293" s="976"/>
      <c r="Y293" s="976"/>
      <c r="Z293" s="976"/>
    </row>
    <row r="294" spans="1:26" ht="15" x14ac:dyDescent="0.25">
      <c r="A294" s="976"/>
      <c r="B294" s="976"/>
      <c r="C294" s="976"/>
      <c r="D294" s="976"/>
      <c r="E294" s="976"/>
      <c r="F294" s="976"/>
      <c r="G294" s="976"/>
      <c r="H294" s="976"/>
      <c r="I294" s="976"/>
      <c r="J294" s="976"/>
      <c r="K294" s="976"/>
      <c r="L294" s="976"/>
      <c r="M294" s="976"/>
      <c r="N294" s="976"/>
      <c r="O294" s="976"/>
      <c r="P294" s="976"/>
      <c r="Q294" s="976"/>
      <c r="R294" s="976"/>
      <c r="S294" s="976"/>
      <c r="T294" s="976"/>
      <c r="U294" s="976"/>
      <c r="V294" s="976"/>
      <c r="W294" s="976"/>
      <c r="X294" s="976"/>
      <c r="Y294" s="976"/>
      <c r="Z294" s="976"/>
    </row>
    <row r="295" spans="1:26" ht="15" x14ac:dyDescent="0.25">
      <c r="A295" s="976"/>
      <c r="B295" s="976"/>
      <c r="C295" s="976"/>
      <c r="D295" s="976"/>
      <c r="E295" s="976"/>
      <c r="F295" s="976"/>
      <c r="G295" s="976"/>
      <c r="H295" s="976"/>
      <c r="I295" s="976"/>
      <c r="J295" s="976"/>
      <c r="K295" s="976"/>
      <c r="L295" s="976"/>
      <c r="M295" s="976"/>
      <c r="N295" s="976"/>
      <c r="O295" s="976"/>
      <c r="P295" s="976"/>
      <c r="Q295" s="976"/>
      <c r="R295" s="976"/>
      <c r="S295" s="976"/>
      <c r="T295" s="976"/>
      <c r="U295" s="976"/>
      <c r="V295" s="976"/>
      <c r="W295" s="976"/>
      <c r="X295" s="976"/>
      <c r="Y295" s="976"/>
      <c r="Z295" s="976"/>
    </row>
    <row r="296" spans="1:26" ht="15" x14ac:dyDescent="0.25">
      <c r="A296" s="976"/>
      <c r="B296" s="976"/>
      <c r="C296" s="976"/>
      <c r="D296" s="976"/>
      <c r="E296" s="976"/>
      <c r="F296" s="976"/>
      <c r="G296" s="976"/>
      <c r="H296" s="976"/>
      <c r="I296" s="976"/>
      <c r="J296" s="976"/>
      <c r="K296" s="976"/>
      <c r="L296" s="976"/>
      <c r="M296" s="976"/>
      <c r="N296" s="976"/>
      <c r="O296" s="976"/>
      <c r="P296" s="976"/>
      <c r="Q296" s="976"/>
      <c r="R296" s="976"/>
      <c r="S296" s="976"/>
      <c r="T296" s="976"/>
      <c r="U296" s="976"/>
      <c r="V296" s="976"/>
      <c r="W296" s="976"/>
      <c r="X296" s="976"/>
      <c r="Y296" s="976"/>
      <c r="Z296" s="976"/>
    </row>
    <row r="297" spans="1:26" ht="15" x14ac:dyDescent="0.25">
      <c r="A297" s="976"/>
      <c r="B297" s="976"/>
      <c r="C297" s="976"/>
      <c r="D297" s="976"/>
      <c r="E297" s="976"/>
      <c r="F297" s="976"/>
      <c r="G297" s="976"/>
      <c r="H297" s="976"/>
      <c r="I297" s="976"/>
      <c r="J297" s="976"/>
      <c r="K297" s="976"/>
      <c r="L297" s="976"/>
      <c r="M297" s="976"/>
      <c r="N297" s="976"/>
      <c r="O297" s="976"/>
      <c r="P297" s="976"/>
      <c r="Q297" s="976"/>
      <c r="R297" s="976"/>
      <c r="S297" s="976"/>
      <c r="T297" s="976"/>
      <c r="U297" s="976"/>
      <c r="V297" s="976"/>
      <c r="W297" s="976"/>
      <c r="X297" s="976"/>
      <c r="Y297" s="976"/>
      <c r="Z297" s="976"/>
    </row>
    <row r="298" spans="1:26" ht="15" x14ac:dyDescent="0.25">
      <c r="A298" s="976"/>
      <c r="B298" s="976"/>
      <c r="C298" s="976"/>
      <c r="D298" s="976"/>
      <c r="E298" s="976"/>
      <c r="F298" s="976"/>
      <c r="G298" s="976"/>
      <c r="H298" s="976"/>
      <c r="I298" s="976"/>
      <c r="J298" s="976"/>
      <c r="K298" s="976"/>
      <c r="L298" s="976"/>
      <c r="M298" s="976"/>
      <c r="N298" s="976"/>
      <c r="O298" s="976"/>
      <c r="P298" s="976"/>
      <c r="Q298" s="976"/>
      <c r="R298" s="976"/>
      <c r="S298" s="976"/>
      <c r="T298" s="976"/>
      <c r="U298" s="976"/>
      <c r="V298" s="976"/>
      <c r="W298" s="976"/>
      <c r="X298" s="976"/>
      <c r="Y298" s="976"/>
      <c r="Z298" s="976"/>
    </row>
    <row r="299" spans="1:26" ht="15" x14ac:dyDescent="0.25">
      <c r="A299" s="976"/>
      <c r="B299" s="976"/>
      <c r="C299" s="976"/>
      <c r="D299" s="976"/>
      <c r="E299" s="976"/>
      <c r="F299" s="976"/>
      <c r="G299" s="976"/>
      <c r="H299" s="976"/>
      <c r="I299" s="976"/>
      <c r="J299" s="976"/>
      <c r="K299" s="976"/>
      <c r="L299" s="976"/>
      <c r="M299" s="976"/>
      <c r="N299" s="976"/>
      <c r="O299" s="976"/>
      <c r="P299" s="976"/>
      <c r="Q299" s="976"/>
      <c r="R299" s="976"/>
      <c r="S299" s="976"/>
      <c r="T299" s="976"/>
      <c r="U299" s="976"/>
      <c r="V299" s="976"/>
      <c r="W299" s="976"/>
      <c r="X299" s="976"/>
      <c r="Y299" s="976"/>
      <c r="Z299" s="976"/>
    </row>
    <row r="300" spans="1:26" ht="15" x14ac:dyDescent="0.25">
      <c r="A300" s="976"/>
      <c r="B300" s="976"/>
      <c r="C300" s="976"/>
      <c r="D300" s="976"/>
      <c r="E300" s="976"/>
      <c r="F300" s="976"/>
      <c r="G300" s="976"/>
      <c r="H300" s="976"/>
      <c r="I300" s="976"/>
      <c r="J300" s="976"/>
      <c r="K300" s="976"/>
      <c r="L300" s="976"/>
      <c r="M300" s="976"/>
      <c r="N300" s="976"/>
      <c r="O300" s="976"/>
      <c r="P300" s="976"/>
      <c r="Q300" s="976"/>
      <c r="R300" s="976"/>
      <c r="S300" s="976"/>
      <c r="T300" s="976"/>
      <c r="U300" s="976"/>
      <c r="V300" s="976"/>
      <c r="W300" s="976"/>
      <c r="X300" s="976"/>
      <c r="Y300" s="976"/>
      <c r="Z300" s="976"/>
    </row>
    <row r="301" spans="1:26" ht="15" x14ac:dyDescent="0.25">
      <c r="A301" s="976"/>
      <c r="B301" s="976"/>
      <c r="C301" s="976"/>
      <c r="D301" s="976"/>
      <c r="E301" s="976"/>
      <c r="F301" s="976"/>
      <c r="G301" s="976"/>
      <c r="H301" s="976"/>
      <c r="I301" s="976"/>
      <c r="J301" s="976"/>
      <c r="K301" s="976"/>
      <c r="L301" s="976"/>
      <c r="M301" s="976"/>
      <c r="N301" s="976"/>
      <c r="O301" s="976"/>
      <c r="P301" s="976"/>
      <c r="Q301" s="976"/>
      <c r="R301" s="976"/>
      <c r="S301" s="976"/>
      <c r="T301" s="976"/>
      <c r="U301" s="976"/>
      <c r="V301" s="976"/>
      <c r="W301" s="976"/>
      <c r="X301" s="976"/>
      <c r="Y301" s="976"/>
      <c r="Z301" s="976"/>
    </row>
    <row r="302" spans="1:26" ht="15" x14ac:dyDescent="0.25">
      <c r="A302" s="976"/>
      <c r="B302" s="976"/>
      <c r="C302" s="976"/>
      <c r="D302" s="976"/>
      <c r="E302" s="976"/>
      <c r="F302" s="976"/>
      <c r="G302" s="976"/>
      <c r="H302" s="976"/>
      <c r="I302" s="976"/>
      <c r="J302" s="976"/>
      <c r="K302" s="976"/>
      <c r="L302" s="976"/>
      <c r="M302" s="976"/>
      <c r="N302" s="976"/>
      <c r="O302" s="976"/>
      <c r="P302" s="976"/>
      <c r="Q302" s="976"/>
      <c r="R302" s="976"/>
      <c r="S302" s="976"/>
      <c r="T302" s="976"/>
      <c r="U302" s="976"/>
      <c r="V302" s="976"/>
      <c r="W302" s="976"/>
      <c r="X302" s="976"/>
      <c r="Y302" s="976"/>
      <c r="Z302" s="976"/>
    </row>
    <row r="303" spans="1:26" ht="15" x14ac:dyDescent="0.25">
      <c r="A303" s="976"/>
      <c r="B303" s="976"/>
      <c r="C303" s="976"/>
      <c r="D303" s="976"/>
      <c r="E303" s="976"/>
      <c r="F303" s="976"/>
      <c r="G303" s="976"/>
      <c r="H303" s="976"/>
      <c r="I303" s="976"/>
      <c r="J303" s="976"/>
      <c r="K303" s="976"/>
      <c r="L303" s="976"/>
      <c r="M303" s="976"/>
      <c r="N303" s="976"/>
      <c r="O303" s="976"/>
      <c r="P303" s="976"/>
      <c r="Q303" s="976"/>
      <c r="R303" s="976"/>
      <c r="S303" s="976"/>
      <c r="T303" s="976"/>
      <c r="U303" s="976"/>
      <c r="V303" s="976"/>
      <c r="W303" s="976"/>
      <c r="X303" s="976"/>
      <c r="Y303" s="976"/>
      <c r="Z303" s="976"/>
    </row>
    <row r="304" spans="1:26" ht="15" x14ac:dyDescent="0.25">
      <c r="A304" s="976"/>
      <c r="B304" s="976"/>
      <c r="C304" s="976"/>
      <c r="D304" s="976"/>
      <c r="E304" s="976"/>
      <c r="F304" s="976"/>
      <c r="G304" s="976"/>
      <c r="H304" s="976"/>
      <c r="I304" s="976"/>
      <c r="J304" s="976"/>
      <c r="K304" s="976"/>
      <c r="L304" s="976"/>
      <c r="M304" s="976"/>
      <c r="N304" s="976"/>
      <c r="O304" s="976"/>
      <c r="P304" s="976"/>
      <c r="Q304" s="976"/>
      <c r="R304" s="976"/>
      <c r="S304" s="976"/>
      <c r="T304" s="976"/>
      <c r="U304" s="976"/>
      <c r="V304" s="976"/>
      <c r="W304" s="976"/>
      <c r="X304" s="976"/>
      <c r="Y304" s="976"/>
      <c r="Z304" s="976"/>
    </row>
    <row r="305" spans="1:26" ht="15" x14ac:dyDescent="0.25">
      <c r="A305" s="976"/>
      <c r="B305" s="976"/>
      <c r="C305" s="976"/>
      <c r="D305" s="976"/>
      <c r="E305" s="976"/>
      <c r="F305" s="976"/>
      <c r="G305" s="976"/>
      <c r="H305" s="976"/>
      <c r="I305" s="976"/>
      <c r="J305" s="976"/>
      <c r="K305" s="976"/>
      <c r="L305" s="976"/>
      <c r="M305" s="976"/>
      <c r="N305" s="976"/>
      <c r="O305" s="976"/>
      <c r="P305" s="976"/>
      <c r="Q305" s="976"/>
      <c r="R305" s="976"/>
      <c r="S305" s="976"/>
      <c r="T305" s="976"/>
      <c r="U305" s="976"/>
      <c r="V305" s="976"/>
      <c r="W305" s="976"/>
      <c r="X305" s="976"/>
      <c r="Y305" s="976"/>
      <c r="Z305" s="976"/>
    </row>
    <row r="306" spans="1:26" ht="15" x14ac:dyDescent="0.25">
      <c r="A306" s="976"/>
      <c r="B306" s="976"/>
      <c r="C306" s="976"/>
      <c r="D306" s="976"/>
      <c r="E306" s="976"/>
      <c r="F306" s="976"/>
      <c r="G306" s="976"/>
      <c r="H306" s="976"/>
      <c r="I306" s="976"/>
      <c r="J306" s="976"/>
      <c r="K306" s="976"/>
      <c r="L306" s="976"/>
      <c r="M306" s="976"/>
      <c r="N306" s="976"/>
      <c r="O306" s="976"/>
      <c r="P306" s="976"/>
      <c r="Q306" s="976"/>
      <c r="R306" s="976"/>
      <c r="S306" s="976"/>
      <c r="T306" s="976"/>
      <c r="U306" s="976"/>
      <c r="V306" s="976"/>
      <c r="W306" s="976"/>
      <c r="X306" s="976"/>
      <c r="Y306" s="976"/>
      <c r="Z306" s="976"/>
    </row>
    <row r="307" spans="1:26" ht="15" x14ac:dyDescent="0.25">
      <c r="A307" s="976"/>
      <c r="B307" s="976"/>
      <c r="C307" s="976"/>
      <c r="D307" s="976"/>
      <c r="E307" s="976"/>
      <c r="F307" s="976"/>
      <c r="G307" s="976"/>
      <c r="H307" s="976"/>
      <c r="I307" s="976"/>
      <c r="J307" s="976"/>
      <c r="K307" s="976"/>
      <c r="L307" s="976"/>
      <c r="M307" s="976"/>
      <c r="N307" s="976"/>
      <c r="O307" s="976"/>
      <c r="P307" s="976"/>
      <c r="Q307" s="976"/>
      <c r="R307" s="976"/>
      <c r="S307" s="976"/>
      <c r="T307" s="976"/>
      <c r="U307" s="976"/>
      <c r="V307" s="976"/>
      <c r="W307" s="976"/>
      <c r="X307" s="976"/>
      <c r="Y307" s="976"/>
      <c r="Z307" s="976"/>
    </row>
    <row r="308" spans="1:26" ht="15" x14ac:dyDescent="0.25">
      <c r="A308" s="976"/>
      <c r="B308" s="976"/>
      <c r="C308" s="976"/>
      <c r="D308" s="976"/>
      <c r="E308" s="976"/>
      <c r="F308" s="976"/>
      <c r="G308" s="976"/>
      <c r="H308" s="976"/>
      <c r="I308" s="976"/>
      <c r="J308" s="976"/>
      <c r="K308" s="976"/>
      <c r="L308" s="976"/>
      <c r="M308" s="976"/>
      <c r="N308" s="976"/>
      <c r="O308" s="976"/>
      <c r="P308" s="976"/>
      <c r="Q308" s="976"/>
      <c r="R308" s="976"/>
      <c r="S308" s="976"/>
      <c r="T308" s="976"/>
      <c r="U308" s="976"/>
      <c r="V308" s="976"/>
      <c r="W308" s="976"/>
      <c r="X308" s="976"/>
      <c r="Y308" s="976"/>
      <c r="Z308" s="976"/>
    </row>
    <row r="309" spans="1:26" ht="15" x14ac:dyDescent="0.25">
      <c r="A309" s="976"/>
      <c r="B309" s="976"/>
      <c r="C309" s="976"/>
      <c r="D309" s="976"/>
      <c r="E309" s="976"/>
      <c r="F309" s="976"/>
      <c r="G309" s="976"/>
      <c r="H309" s="976"/>
      <c r="I309" s="976"/>
      <c r="J309" s="976"/>
      <c r="K309" s="976"/>
      <c r="L309" s="976"/>
      <c r="M309" s="976"/>
      <c r="N309" s="976"/>
      <c r="O309" s="976"/>
      <c r="P309" s="976"/>
      <c r="Q309" s="976"/>
      <c r="R309" s="976"/>
      <c r="S309" s="976"/>
      <c r="T309" s="976"/>
      <c r="U309" s="976"/>
      <c r="V309" s="976"/>
      <c r="W309" s="976"/>
      <c r="X309" s="976"/>
      <c r="Y309" s="976"/>
      <c r="Z309" s="976"/>
    </row>
    <row r="310" spans="1:26" ht="15" x14ac:dyDescent="0.25">
      <c r="A310" s="976"/>
      <c r="B310" s="976"/>
      <c r="C310" s="976"/>
      <c r="D310" s="976"/>
      <c r="E310" s="976"/>
      <c r="F310" s="976"/>
      <c r="G310" s="976"/>
      <c r="H310" s="976"/>
      <c r="I310" s="976"/>
      <c r="J310" s="976"/>
      <c r="K310" s="976"/>
      <c r="L310" s="976"/>
      <c r="M310" s="976"/>
      <c r="N310" s="976"/>
      <c r="O310" s="976"/>
      <c r="P310" s="976"/>
      <c r="Q310" s="976"/>
      <c r="R310" s="976"/>
      <c r="S310" s="976"/>
      <c r="T310" s="976"/>
      <c r="U310" s="976"/>
      <c r="V310" s="976"/>
      <c r="W310" s="976"/>
      <c r="X310" s="976"/>
      <c r="Y310" s="976"/>
      <c r="Z310" s="976"/>
    </row>
    <row r="311" spans="1:26" ht="15" x14ac:dyDescent="0.25">
      <c r="A311" s="976"/>
      <c r="B311" s="976"/>
      <c r="C311" s="976"/>
      <c r="D311" s="976"/>
      <c r="E311" s="976"/>
      <c r="F311" s="976"/>
      <c r="G311" s="976"/>
      <c r="H311" s="976"/>
      <c r="I311" s="976"/>
      <c r="J311" s="976"/>
      <c r="K311" s="976"/>
      <c r="L311" s="976"/>
      <c r="M311" s="976"/>
      <c r="N311" s="976"/>
      <c r="O311" s="976"/>
      <c r="P311" s="976"/>
      <c r="Q311" s="976"/>
      <c r="R311" s="976"/>
      <c r="S311" s="976"/>
      <c r="T311" s="976"/>
      <c r="U311" s="976"/>
      <c r="V311" s="976"/>
      <c r="W311" s="976"/>
      <c r="X311" s="976"/>
      <c r="Y311" s="976"/>
      <c r="Z311" s="976"/>
    </row>
    <row r="312" spans="1:26" ht="15" x14ac:dyDescent="0.25">
      <c r="A312" s="976"/>
      <c r="B312" s="976"/>
      <c r="C312" s="976"/>
      <c r="D312" s="976"/>
      <c r="E312" s="976"/>
      <c r="F312" s="976"/>
      <c r="G312" s="976"/>
      <c r="H312" s="976"/>
      <c r="I312" s="976"/>
      <c r="J312" s="976"/>
      <c r="K312" s="976"/>
      <c r="L312" s="976"/>
      <c r="M312" s="976"/>
      <c r="N312" s="976"/>
      <c r="O312" s="976"/>
      <c r="P312" s="976"/>
      <c r="Q312" s="976"/>
      <c r="R312" s="976"/>
      <c r="S312" s="976"/>
      <c r="T312" s="976"/>
      <c r="U312" s="976"/>
      <c r="V312" s="976"/>
      <c r="W312" s="976"/>
      <c r="X312" s="976"/>
      <c r="Y312" s="976"/>
      <c r="Z312" s="976"/>
    </row>
    <row r="313" spans="1:26" ht="15" x14ac:dyDescent="0.25">
      <c r="A313" s="976"/>
      <c r="B313" s="976"/>
      <c r="C313" s="976"/>
      <c r="D313" s="976"/>
      <c r="E313" s="976"/>
      <c r="F313" s="976"/>
      <c r="G313" s="976"/>
      <c r="H313" s="976"/>
      <c r="I313" s="976"/>
      <c r="J313" s="976"/>
      <c r="K313" s="976"/>
      <c r="L313" s="976"/>
      <c r="M313" s="976"/>
      <c r="N313" s="976"/>
      <c r="O313" s="976"/>
      <c r="P313" s="976"/>
      <c r="Q313" s="976"/>
      <c r="R313" s="976"/>
      <c r="S313" s="976"/>
      <c r="T313" s="976"/>
      <c r="U313" s="976"/>
      <c r="V313" s="976"/>
      <c r="W313" s="976"/>
      <c r="X313" s="976"/>
      <c r="Y313" s="976"/>
      <c r="Z313" s="976"/>
    </row>
    <row r="314" spans="1:26" ht="15" x14ac:dyDescent="0.25">
      <c r="A314" s="976"/>
      <c r="B314" s="976"/>
      <c r="C314" s="976"/>
      <c r="D314" s="976"/>
      <c r="E314" s="976"/>
      <c r="F314" s="976"/>
      <c r="G314" s="976"/>
      <c r="H314" s="976"/>
      <c r="I314" s="976"/>
      <c r="J314" s="976"/>
      <c r="K314" s="976"/>
      <c r="L314" s="976"/>
      <c r="M314" s="976"/>
      <c r="N314" s="976"/>
      <c r="O314" s="976"/>
      <c r="P314" s="976"/>
      <c r="Q314" s="976"/>
      <c r="R314" s="976"/>
      <c r="S314" s="976"/>
      <c r="T314" s="976"/>
      <c r="U314" s="976"/>
      <c r="V314" s="976"/>
      <c r="W314" s="976"/>
      <c r="X314" s="976"/>
      <c r="Y314" s="976"/>
      <c r="Z314" s="976"/>
    </row>
    <row r="315" spans="1:26" ht="15" x14ac:dyDescent="0.25">
      <c r="A315" s="976"/>
      <c r="B315" s="976"/>
      <c r="C315" s="976"/>
      <c r="D315" s="976"/>
      <c r="E315" s="976"/>
      <c r="F315" s="976"/>
      <c r="G315" s="976"/>
      <c r="H315" s="976"/>
      <c r="I315" s="976"/>
      <c r="J315" s="976"/>
      <c r="K315" s="976"/>
      <c r="L315" s="976"/>
      <c r="M315" s="976"/>
      <c r="N315" s="976"/>
      <c r="O315" s="976"/>
      <c r="P315" s="976"/>
      <c r="Q315" s="976"/>
      <c r="R315" s="976"/>
      <c r="S315" s="976"/>
      <c r="T315" s="976"/>
      <c r="U315" s="976"/>
      <c r="V315" s="976"/>
      <c r="W315" s="976"/>
      <c r="X315" s="976"/>
      <c r="Y315" s="976"/>
      <c r="Z315" s="976"/>
    </row>
    <row r="316" spans="1:26" ht="15" x14ac:dyDescent="0.25">
      <c r="A316" s="976"/>
      <c r="B316" s="976"/>
      <c r="C316" s="976"/>
      <c r="D316" s="976"/>
      <c r="E316" s="976"/>
      <c r="F316" s="976"/>
      <c r="G316" s="976"/>
      <c r="H316" s="976"/>
      <c r="I316" s="976"/>
      <c r="J316" s="976"/>
      <c r="K316" s="976"/>
      <c r="L316" s="976"/>
      <c r="M316" s="976"/>
      <c r="N316" s="976"/>
      <c r="O316" s="976"/>
      <c r="P316" s="976"/>
      <c r="Q316" s="976"/>
      <c r="R316" s="976"/>
      <c r="S316" s="976"/>
      <c r="T316" s="976"/>
      <c r="U316" s="976"/>
      <c r="V316" s="976"/>
      <c r="W316" s="976"/>
      <c r="X316" s="976"/>
      <c r="Y316" s="976"/>
      <c r="Z316" s="976"/>
    </row>
    <row r="317" spans="1:26" ht="15" x14ac:dyDescent="0.25">
      <c r="A317" s="976"/>
      <c r="B317" s="976"/>
      <c r="C317" s="976"/>
      <c r="D317" s="976"/>
      <c r="E317" s="976"/>
      <c r="F317" s="976"/>
      <c r="G317" s="976"/>
      <c r="H317" s="976"/>
      <c r="I317" s="976"/>
      <c r="J317" s="976"/>
      <c r="K317" s="976"/>
      <c r="L317" s="976"/>
      <c r="M317" s="976"/>
      <c r="N317" s="976"/>
      <c r="O317" s="976"/>
      <c r="P317" s="976"/>
      <c r="Q317" s="976"/>
      <c r="R317" s="976"/>
      <c r="S317" s="976"/>
      <c r="T317" s="976"/>
      <c r="U317" s="976"/>
      <c r="V317" s="976"/>
      <c r="W317" s="976"/>
      <c r="X317" s="976"/>
      <c r="Y317" s="976"/>
      <c r="Z317" s="976"/>
    </row>
    <row r="318" spans="1:26" ht="15" x14ac:dyDescent="0.25">
      <c r="A318" s="976"/>
      <c r="B318" s="976"/>
      <c r="C318" s="976"/>
      <c r="D318" s="976"/>
      <c r="E318" s="976"/>
      <c r="F318" s="976"/>
      <c r="G318" s="976"/>
      <c r="H318" s="976"/>
      <c r="I318" s="976"/>
      <c r="J318" s="976"/>
      <c r="K318" s="976"/>
      <c r="L318" s="976"/>
      <c r="M318" s="976"/>
      <c r="N318" s="976"/>
      <c r="O318" s="976"/>
      <c r="P318" s="976"/>
      <c r="Q318" s="976"/>
      <c r="R318" s="976"/>
      <c r="S318" s="976"/>
      <c r="T318" s="976"/>
      <c r="U318" s="976"/>
      <c r="V318" s="976"/>
      <c r="W318" s="976"/>
      <c r="X318" s="976"/>
      <c r="Y318" s="976"/>
      <c r="Z318" s="976"/>
    </row>
    <row r="319" spans="1:26" ht="15" x14ac:dyDescent="0.25">
      <c r="A319" s="976"/>
      <c r="B319" s="976"/>
      <c r="C319" s="976"/>
      <c r="D319" s="976"/>
      <c r="E319" s="976"/>
      <c r="F319" s="976"/>
      <c r="G319" s="976"/>
      <c r="H319" s="976"/>
      <c r="I319" s="976"/>
      <c r="J319" s="976"/>
      <c r="K319" s="976"/>
      <c r="L319" s="976"/>
      <c r="M319" s="976"/>
      <c r="N319" s="976"/>
      <c r="O319" s="976"/>
      <c r="P319" s="976"/>
      <c r="Q319" s="976"/>
      <c r="R319" s="976"/>
      <c r="S319" s="976"/>
      <c r="T319" s="976"/>
      <c r="U319" s="976"/>
      <c r="V319" s="976"/>
      <c r="W319" s="976"/>
      <c r="X319" s="976"/>
      <c r="Y319" s="976"/>
      <c r="Z319" s="976"/>
    </row>
    <row r="320" spans="1:26" ht="15" x14ac:dyDescent="0.25">
      <c r="A320" s="976"/>
      <c r="B320" s="976"/>
      <c r="C320" s="976"/>
      <c r="D320" s="976"/>
      <c r="E320" s="976"/>
      <c r="F320" s="976"/>
      <c r="G320" s="976"/>
      <c r="H320" s="976"/>
      <c r="I320" s="976"/>
      <c r="J320" s="976"/>
      <c r="K320" s="976"/>
      <c r="L320" s="976"/>
      <c r="M320" s="976"/>
      <c r="N320" s="976"/>
      <c r="O320" s="976"/>
      <c r="P320" s="976"/>
      <c r="Q320" s="976"/>
      <c r="R320" s="976"/>
      <c r="S320" s="976"/>
      <c r="T320" s="976"/>
      <c r="U320" s="976"/>
      <c r="V320" s="976"/>
      <c r="W320" s="976"/>
      <c r="X320" s="976"/>
      <c r="Y320" s="976"/>
      <c r="Z320" s="976"/>
    </row>
    <row r="321" spans="1:26" ht="15" x14ac:dyDescent="0.25">
      <c r="A321" s="976"/>
      <c r="B321" s="976"/>
      <c r="C321" s="976"/>
      <c r="D321" s="976"/>
      <c r="E321" s="976"/>
      <c r="F321" s="976"/>
      <c r="G321" s="976"/>
      <c r="H321" s="976"/>
      <c r="I321" s="976"/>
      <c r="J321" s="976"/>
      <c r="K321" s="976"/>
      <c r="L321" s="976"/>
      <c r="M321" s="976"/>
      <c r="N321" s="976"/>
      <c r="O321" s="976"/>
      <c r="P321" s="976"/>
      <c r="Q321" s="976"/>
      <c r="R321" s="976"/>
      <c r="S321" s="976"/>
      <c r="T321" s="976"/>
      <c r="U321" s="976"/>
      <c r="V321" s="976"/>
      <c r="W321" s="976"/>
      <c r="X321" s="976"/>
      <c r="Y321" s="976"/>
      <c r="Z321" s="976"/>
    </row>
    <row r="322" spans="1:26" ht="15" x14ac:dyDescent="0.25">
      <c r="A322" s="976"/>
      <c r="B322" s="976"/>
      <c r="C322" s="976"/>
      <c r="D322" s="976"/>
      <c r="E322" s="976"/>
      <c r="F322" s="976"/>
      <c r="G322" s="976"/>
      <c r="H322" s="976"/>
      <c r="I322" s="976"/>
      <c r="J322" s="976"/>
      <c r="K322" s="976"/>
      <c r="L322" s="976"/>
      <c r="M322" s="976"/>
      <c r="N322" s="976"/>
      <c r="O322" s="976"/>
      <c r="P322" s="976"/>
      <c r="Q322" s="976"/>
      <c r="R322" s="976"/>
      <c r="S322" s="976"/>
      <c r="T322" s="976"/>
      <c r="U322" s="976"/>
      <c r="V322" s="976"/>
      <c r="W322" s="976"/>
      <c r="X322" s="976"/>
      <c r="Y322" s="976"/>
      <c r="Z322" s="976"/>
    </row>
    <row r="323" spans="1:26" ht="15" x14ac:dyDescent="0.25">
      <c r="A323" s="976"/>
      <c r="B323" s="976"/>
      <c r="C323" s="976"/>
      <c r="D323" s="976"/>
      <c r="E323" s="976"/>
      <c r="F323" s="976"/>
      <c r="G323" s="976"/>
      <c r="H323" s="976"/>
      <c r="I323" s="976"/>
      <c r="J323" s="976"/>
      <c r="K323" s="976"/>
      <c r="L323" s="976"/>
      <c r="M323" s="976"/>
      <c r="N323" s="976"/>
      <c r="O323" s="976"/>
      <c r="P323" s="976"/>
      <c r="Q323" s="976"/>
      <c r="R323" s="976"/>
      <c r="S323" s="976"/>
      <c r="T323" s="976"/>
      <c r="U323" s="976"/>
      <c r="V323" s="976"/>
      <c r="W323" s="976"/>
      <c r="X323" s="976"/>
      <c r="Y323" s="976"/>
      <c r="Z323" s="976"/>
    </row>
    <row r="324" spans="1:26" ht="15" x14ac:dyDescent="0.25">
      <c r="A324" s="976"/>
      <c r="B324" s="976"/>
      <c r="C324" s="976"/>
      <c r="D324" s="976"/>
      <c r="E324" s="976"/>
      <c r="F324" s="976"/>
      <c r="G324" s="976"/>
      <c r="H324" s="976"/>
      <c r="I324" s="976"/>
      <c r="J324" s="976"/>
      <c r="K324" s="976"/>
      <c r="L324" s="976"/>
      <c r="M324" s="976"/>
      <c r="N324" s="976"/>
      <c r="O324" s="976"/>
      <c r="P324" s="976"/>
      <c r="Q324" s="976"/>
      <c r="R324" s="976"/>
      <c r="S324" s="976"/>
      <c r="T324" s="976"/>
      <c r="U324" s="976"/>
      <c r="V324" s="976"/>
      <c r="W324" s="976"/>
      <c r="X324" s="976"/>
      <c r="Y324" s="976"/>
      <c r="Z324" s="976"/>
    </row>
    <row r="325" spans="1:26" ht="15" x14ac:dyDescent="0.25">
      <c r="A325" s="976"/>
      <c r="B325" s="976"/>
      <c r="C325" s="976"/>
      <c r="D325" s="976"/>
      <c r="E325" s="976"/>
      <c r="F325" s="976"/>
      <c r="G325" s="976"/>
      <c r="H325" s="976"/>
      <c r="I325" s="976"/>
      <c r="J325" s="976"/>
      <c r="K325" s="976"/>
      <c r="L325" s="976"/>
      <c r="M325" s="976"/>
      <c r="N325" s="976"/>
      <c r="O325" s="976"/>
      <c r="P325" s="976"/>
      <c r="Q325" s="976"/>
      <c r="R325" s="976"/>
      <c r="S325" s="976"/>
      <c r="T325" s="976"/>
      <c r="U325" s="976"/>
      <c r="V325" s="976"/>
      <c r="W325" s="976"/>
      <c r="X325" s="976"/>
      <c r="Y325" s="976"/>
      <c r="Z325" s="976"/>
    </row>
    <row r="326" spans="1:26" ht="15" x14ac:dyDescent="0.25">
      <c r="A326" s="976"/>
      <c r="B326" s="976"/>
      <c r="C326" s="976"/>
      <c r="D326" s="976"/>
      <c r="E326" s="976"/>
      <c r="F326" s="976"/>
      <c r="G326" s="976"/>
      <c r="H326" s="976"/>
      <c r="I326" s="976"/>
      <c r="J326" s="976"/>
      <c r="K326" s="976"/>
      <c r="L326" s="976"/>
      <c r="M326" s="976"/>
      <c r="N326" s="976"/>
      <c r="O326" s="976"/>
      <c r="P326" s="976"/>
      <c r="Q326" s="976"/>
      <c r="R326" s="976"/>
      <c r="S326" s="976"/>
      <c r="T326" s="976"/>
      <c r="U326" s="976"/>
      <c r="V326" s="976"/>
      <c r="W326" s="976"/>
      <c r="X326" s="976"/>
      <c r="Y326" s="976"/>
      <c r="Z326" s="976"/>
    </row>
    <row r="327" spans="1:26" ht="15" x14ac:dyDescent="0.25">
      <c r="A327" s="976"/>
      <c r="B327" s="976"/>
      <c r="C327" s="976"/>
      <c r="D327" s="976"/>
      <c r="E327" s="976"/>
      <c r="F327" s="976"/>
      <c r="G327" s="976"/>
      <c r="H327" s="976"/>
      <c r="I327" s="976"/>
      <c r="J327" s="976"/>
      <c r="K327" s="976"/>
      <c r="L327" s="976"/>
      <c r="M327" s="976"/>
      <c r="N327" s="976"/>
      <c r="O327" s="976"/>
      <c r="P327" s="976"/>
      <c r="Q327" s="976"/>
      <c r="R327" s="976"/>
      <c r="S327" s="976"/>
      <c r="T327" s="976"/>
      <c r="U327" s="976"/>
      <c r="V327" s="976"/>
      <c r="W327" s="976"/>
      <c r="X327" s="976"/>
      <c r="Y327" s="976"/>
      <c r="Z327" s="976"/>
    </row>
    <row r="328" spans="1:26" ht="15" x14ac:dyDescent="0.25">
      <c r="A328" s="976"/>
      <c r="B328" s="976"/>
      <c r="C328" s="976"/>
      <c r="D328" s="976"/>
      <c r="E328" s="976"/>
      <c r="F328" s="976"/>
      <c r="G328" s="976"/>
      <c r="H328" s="976"/>
      <c r="I328" s="976"/>
      <c r="J328" s="976"/>
      <c r="K328" s="976"/>
      <c r="L328" s="976"/>
      <c r="M328" s="976"/>
      <c r="N328" s="976"/>
      <c r="O328" s="976"/>
      <c r="P328" s="976"/>
      <c r="Q328" s="976"/>
      <c r="R328" s="976"/>
      <c r="S328" s="976"/>
      <c r="T328" s="976"/>
      <c r="U328" s="976"/>
      <c r="V328" s="976"/>
      <c r="W328" s="976"/>
      <c r="X328" s="976"/>
      <c r="Y328" s="976"/>
      <c r="Z328" s="976"/>
    </row>
    <row r="329" spans="1:26" ht="15" x14ac:dyDescent="0.25">
      <c r="A329" s="976"/>
      <c r="B329" s="976"/>
      <c r="C329" s="976"/>
      <c r="D329" s="976"/>
      <c r="E329" s="976"/>
      <c r="F329" s="976"/>
      <c r="G329" s="976"/>
      <c r="H329" s="976"/>
      <c r="I329" s="976"/>
      <c r="J329" s="976"/>
      <c r="K329" s="976"/>
      <c r="L329" s="976"/>
      <c r="M329" s="976"/>
      <c r="N329" s="976"/>
      <c r="O329" s="976"/>
      <c r="P329" s="976"/>
      <c r="Q329" s="976"/>
      <c r="R329" s="976"/>
      <c r="S329" s="976"/>
      <c r="T329" s="976"/>
      <c r="U329" s="976"/>
      <c r="V329" s="976"/>
      <c r="W329" s="976"/>
      <c r="X329" s="976"/>
      <c r="Y329" s="976"/>
      <c r="Z329" s="976"/>
    </row>
    <row r="330" spans="1:26" ht="15" x14ac:dyDescent="0.25">
      <c r="A330" s="976"/>
      <c r="B330" s="976"/>
      <c r="C330" s="976"/>
      <c r="D330" s="976"/>
      <c r="E330" s="976"/>
      <c r="F330" s="976"/>
      <c r="G330" s="976"/>
      <c r="H330" s="976"/>
      <c r="I330" s="976"/>
      <c r="J330" s="976"/>
      <c r="K330" s="976"/>
      <c r="L330" s="976"/>
      <c r="M330" s="976"/>
      <c r="N330" s="976"/>
      <c r="O330" s="976"/>
      <c r="P330" s="976"/>
      <c r="Q330" s="976"/>
      <c r="R330" s="976"/>
      <c r="S330" s="976"/>
      <c r="T330" s="976"/>
      <c r="U330" s="976"/>
      <c r="V330" s="976"/>
      <c r="W330" s="976"/>
      <c r="X330" s="976"/>
      <c r="Y330" s="976"/>
      <c r="Z330" s="976"/>
    </row>
    <row r="331" spans="1:26" ht="15" x14ac:dyDescent="0.25">
      <c r="A331" s="976"/>
      <c r="B331" s="976"/>
      <c r="C331" s="976"/>
      <c r="D331" s="976"/>
      <c r="E331" s="976"/>
      <c r="F331" s="976"/>
      <c r="G331" s="976"/>
      <c r="H331" s="976"/>
      <c r="I331" s="976"/>
      <c r="J331" s="976"/>
      <c r="K331" s="976"/>
      <c r="L331" s="976"/>
      <c r="M331" s="976"/>
      <c r="N331" s="976"/>
      <c r="O331" s="976"/>
      <c r="P331" s="976"/>
      <c r="Q331" s="976"/>
      <c r="R331" s="976"/>
      <c r="S331" s="976"/>
      <c r="T331" s="976"/>
      <c r="U331" s="976"/>
      <c r="V331" s="976"/>
      <c r="W331" s="976"/>
      <c r="X331" s="976"/>
      <c r="Y331" s="976"/>
      <c r="Z331" s="976"/>
    </row>
    <row r="332" spans="1:26" ht="15" x14ac:dyDescent="0.25">
      <c r="A332" s="976"/>
      <c r="B332" s="976"/>
      <c r="C332" s="976"/>
      <c r="D332" s="976"/>
      <c r="E332" s="976"/>
      <c r="F332" s="976"/>
      <c r="G332" s="976"/>
      <c r="H332" s="976"/>
      <c r="I332" s="976"/>
      <c r="J332" s="976"/>
      <c r="K332" s="976"/>
      <c r="L332" s="976"/>
      <c r="M332" s="976"/>
      <c r="N332" s="976"/>
      <c r="O332" s="976"/>
      <c r="P332" s="976"/>
      <c r="Q332" s="976"/>
      <c r="R332" s="976"/>
      <c r="S332" s="976"/>
      <c r="T332" s="976"/>
      <c r="U332" s="976"/>
      <c r="V332" s="976"/>
      <c r="W332" s="976"/>
      <c r="X332" s="976"/>
      <c r="Y332" s="976"/>
      <c r="Z332" s="976"/>
    </row>
    <row r="333" spans="1:26" ht="15" x14ac:dyDescent="0.25">
      <c r="A333" s="976"/>
      <c r="B333" s="976"/>
      <c r="C333" s="976"/>
      <c r="D333" s="976"/>
      <c r="E333" s="976"/>
      <c r="F333" s="976"/>
      <c r="G333" s="976"/>
      <c r="H333" s="976"/>
      <c r="I333" s="976"/>
      <c r="J333" s="976"/>
      <c r="K333" s="976"/>
      <c r="L333" s="976"/>
      <c r="M333" s="976"/>
      <c r="N333" s="976"/>
      <c r="O333" s="976"/>
      <c r="P333" s="976"/>
      <c r="Q333" s="976"/>
      <c r="R333" s="976"/>
      <c r="S333" s="976"/>
      <c r="T333" s="976"/>
      <c r="U333" s="976"/>
      <c r="V333" s="976"/>
      <c r="W333" s="976"/>
      <c r="X333" s="976"/>
      <c r="Y333" s="976"/>
      <c r="Z333" s="976"/>
    </row>
    <row r="334" spans="1:26" ht="15" x14ac:dyDescent="0.25">
      <c r="A334" s="976"/>
      <c r="B334" s="976"/>
      <c r="C334" s="976"/>
      <c r="D334" s="976"/>
      <c r="E334" s="976"/>
      <c r="F334" s="976"/>
      <c r="G334" s="976"/>
      <c r="H334" s="976"/>
      <c r="I334" s="976"/>
      <c r="J334" s="976"/>
      <c r="K334" s="976"/>
      <c r="L334" s="976"/>
      <c r="M334" s="976"/>
      <c r="N334" s="976"/>
      <c r="O334" s="976"/>
      <c r="P334" s="976"/>
      <c r="Q334" s="976"/>
      <c r="R334" s="976"/>
      <c r="S334" s="976"/>
      <c r="T334" s="976"/>
      <c r="U334" s="976"/>
      <c r="V334" s="976"/>
      <c r="W334" s="976"/>
      <c r="X334" s="976"/>
      <c r="Y334" s="976"/>
      <c r="Z334" s="976"/>
    </row>
    <row r="335" spans="1:26" ht="15" x14ac:dyDescent="0.25">
      <c r="A335" s="976"/>
      <c r="B335" s="976"/>
      <c r="C335" s="976"/>
      <c r="D335" s="976"/>
      <c r="E335" s="976"/>
      <c r="F335" s="976"/>
      <c r="G335" s="976"/>
      <c r="H335" s="976"/>
      <c r="I335" s="976"/>
      <c r="J335" s="976"/>
      <c r="K335" s="976"/>
      <c r="L335" s="976"/>
      <c r="M335" s="976"/>
      <c r="N335" s="976"/>
      <c r="O335" s="976"/>
      <c r="P335" s="976"/>
      <c r="Q335" s="976"/>
      <c r="R335" s="976"/>
      <c r="S335" s="976"/>
      <c r="T335" s="976"/>
      <c r="U335" s="976"/>
      <c r="V335" s="976"/>
      <c r="W335" s="976"/>
      <c r="X335" s="976"/>
      <c r="Y335" s="976"/>
      <c r="Z335" s="976"/>
    </row>
    <row r="336" spans="1:26" ht="15" x14ac:dyDescent="0.25">
      <c r="A336" s="976"/>
      <c r="B336" s="976"/>
      <c r="C336" s="976"/>
      <c r="D336" s="976"/>
      <c r="E336" s="976"/>
      <c r="F336" s="976"/>
      <c r="G336" s="976"/>
      <c r="H336" s="976"/>
      <c r="I336" s="976"/>
      <c r="J336" s="976"/>
      <c r="K336" s="976"/>
      <c r="L336" s="976"/>
      <c r="M336" s="976"/>
      <c r="N336" s="976"/>
      <c r="O336" s="976"/>
      <c r="P336" s="976"/>
      <c r="Q336" s="976"/>
      <c r="R336" s="976"/>
      <c r="S336" s="976"/>
      <c r="T336" s="976"/>
      <c r="U336" s="976"/>
      <c r="V336" s="976"/>
      <c r="W336" s="976"/>
      <c r="X336" s="976"/>
      <c r="Y336" s="976"/>
      <c r="Z336" s="976"/>
    </row>
    <row r="337" spans="1:26" ht="15" x14ac:dyDescent="0.25">
      <c r="A337" s="976"/>
      <c r="B337" s="976"/>
      <c r="C337" s="976"/>
      <c r="D337" s="976"/>
      <c r="E337" s="976"/>
      <c r="F337" s="976"/>
      <c r="G337" s="976"/>
      <c r="H337" s="976"/>
      <c r="I337" s="976"/>
      <c r="J337" s="976"/>
      <c r="K337" s="976"/>
      <c r="L337" s="976"/>
      <c r="M337" s="976"/>
      <c r="N337" s="976"/>
      <c r="O337" s="976"/>
      <c r="P337" s="976"/>
      <c r="Q337" s="976"/>
      <c r="R337" s="976"/>
      <c r="S337" s="976"/>
      <c r="T337" s="976"/>
      <c r="U337" s="976"/>
      <c r="V337" s="976"/>
      <c r="W337" s="976"/>
      <c r="X337" s="976"/>
      <c r="Y337" s="976"/>
      <c r="Z337" s="976"/>
    </row>
    <row r="338" spans="1:26" ht="15" x14ac:dyDescent="0.25">
      <c r="A338" s="976"/>
      <c r="B338" s="976"/>
      <c r="C338" s="976"/>
      <c r="D338" s="976"/>
      <c r="E338" s="976"/>
      <c r="F338" s="976"/>
      <c r="G338" s="976"/>
      <c r="H338" s="976"/>
      <c r="I338" s="976"/>
      <c r="J338" s="976"/>
      <c r="K338" s="976"/>
      <c r="L338" s="976"/>
      <c r="M338" s="976"/>
      <c r="N338" s="976"/>
      <c r="O338" s="976"/>
      <c r="P338" s="976"/>
      <c r="Q338" s="976"/>
      <c r="R338" s="976"/>
      <c r="S338" s="976"/>
      <c r="T338" s="976"/>
      <c r="U338" s="976"/>
      <c r="V338" s="976"/>
      <c r="W338" s="976"/>
      <c r="X338" s="976"/>
      <c r="Y338" s="976"/>
      <c r="Z338" s="976"/>
    </row>
    <row r="339" spans="1:26" ht="15" x14ac:dyDescent="0.25">
      <c r="A339" s="976"/>
      <c r="B339" s="976"/>
      <c r="C339" s="976"/>
      <c r="D339" s="976"/>
      <c r="E339" s="976"/>
      <c r="F339" s="976"/>
      <c r="G339" s="976"/>
      <c r="H339" s="976"/>
      <c r="I339" s="976"/>
      <c r="J339" s="976"/>
      <c r="K339" s="976"/>
      <c r="L339" s="976"/>
      <c r="M339" s="976"/>
      <c r="N339" s="976"/>
      <c r="O339" s="976"/>
      <c r="P339" s="976"/>
      <c r="Q339" s="976"/>
      <c r="R339" s="976"/>
      <c r="S339" s="976"/>
      <c r="T339" s="976"/>
      <c r="U339" s="976"/>
      <c r="V339" s="976"/>
      <c r="W339" s="976"/>
      <c r="X339" s="976"/>
      <c r="Y339" s="976"/>
      <c r="Z339" s="976"/>
    </row>
    <row r="340" spans="1:26" ht="15" x14ac:dyDescent="0.25">
      <c r="A340" s="976"/>
      <c r="B340" s="976"/>
      <c r="C340" s="976"/>
      <c r="D340" s="976"/>
      <c r="E340" s="976"/>
      <c r="F340" s="976"/>
      <c r="G340" s="976"/>
      <c r="H340" s="976"/>
      <c r="I340" s="976"/>
      <c r="J340" s="976"/>
      <c r="K340" s="976"/>
      <c r="L340" s="976"/>
      <c r="M340" s="976"/>
      <c r="N340" s="976"/>
      <c r="O340" s="976"/>
      <c r="P340" s="976"/>
      <c r="Q340" s="976"/>
      <c r="R340" s="976"/>
      <c r="S340" s="976"/>
      <c r="T340" s="976"/>
      <c r="U340" s="976"/>
      <c r="V340" s="976"/>
      <c r="W340" s="976"/>
      <c r="X340" s="976"/>
      <c r="Y340" s="976"/>
      <c r="Z340" s="976"/>
    </row>
    <row r="341" spans="1:26" ht="15" x14ac:dyDescent="0.25">
      <c r="A341" s="976"/>
      <c r="B341" s="976"/>
      <c r="C341" s="976"/>
      <c r="D341" s="976"/>
      <c r="E341" s="976"/>
      <c r="F341" s="976"/>
      <c r="G341" s="976"/>
      <c r="H341" s="976"/>
      <c r="I341" s="976"/>
      <c r="J341" s="976"/>
      <c r="K341" s="976"/>
      <c r="L341" s="976"/>
      <c r="M341" s="976"/>
      <c r="N341" s="976"/>
      <c r="O341" s="976"/>
      <c r="P341" s="976"/>
      <c r="Q341" s="976"/>
      <c r="R341" s="976"/>
      <c r="S341" s="976"/>
      <c r="T341" s="976"/>
      <c r="U341" s="976"/>
      <c r="V341" s="976"/>
      <c r="W341" s="976"/>
      <c r="X341" s="976"/>
      <c r="Y341" s="976"/>
      <c r="Z341" s="976"/>
    </row>
    <row r="342" spans="1:26" ht="15" x14ac:dyDescent="0.25">
      <c r="A342" s="976"/>
      <c r="B342" s="976"/>
      <c r="C342" s="976"/>
      <c r="D342" s="976"/>
      <c r="E342" s="976"/>
      <c r="F342" s="976"/>
      <c r="G342" s="976"/>
      <c r="H342" s="976"/>
      <c r="I342" s="976"/>
      <c r="J342" s="976"/>
      <c r="K342" s="976"/>
      <c r="L342" s="976"/>
      <c r="M342" s="976"/>
      <c r="N342" s="976"/>
      <c r="O342" s="976"/>
      <c r="P342" s="976"/>
      <c r="Q342" s="976"/>
      <c r="R342" s="976"/>
      <c r="S342" s="976"/>
      <c r="T342" s="976"/>
      <c r="U342" s="976"/>
      <c r="V342" s="976"/>
      <c r="W342" s="976"/>
      <c r="X342" s="976"/>
      <c r="Y342" s="976"/>
      <c r="Z342" s="976"/>
    </row>
    <row r="343" spans="1:26" ht="15" x14ac:dyDescent="0.25">
      <c r="A343" s="976"/>
      <c r="B343" s="976"/>
      <c r="C343" s="976"/>
      <c r="D343" s="976"/>
      <c r="E343" s="976"/>
      <c r="F343" s="976"/>
      <c r="G343" s="976"/>
      <c r="H343" s="976"/>
      <c r="I343" s="976"/>
      <c r="J343" s="976"/>
      <c r="K343" s="976"/>
      <c r="L343" s="976"/>
      <c r="M343" s="976"/>
      <c r="N343" s="976"/>
      <c r="O343" s="976"/>
      <c r="P343" s="976"/>
      <c r="Q343" s="976"/>
      <c r="R343" s="976"/>
      <c r="S343" s="976"/>
      <c r="T343" s="976"/>
      <c r="U343" s="976"/>
      <c r="V343" s="976"/>
      <c r="W343" s="976"/>
      <c r="X343" s="976"/>
      <c r="Y343" s="976"/>
      <c r="Z343" s="976"/>
    </row>
    <row r="344" spans="1:26" ht="15" x14ac:dyDescent="0.25">
      <c r="A344" s="976"/>
      <c r="B344" s="976"/>
      <c r="C344" s="976"/>
      <c r="D344" s="976"/>
      <c r="E344" s="976"/>
      <c r="F344" s="976"/>
      <c r="G344" s="976"/>
      <c r="H344" s="976"/>
      <c r="I344" s="976"/>
      <c r="J344" s="976"/>
      <c r="K344" s="976"/>
      <c r="L344" s="976"/>
      <c r="M344" s="976"/>
      <c r="N344" s="976"/>
      <c r="O344" s="976"/>
      <c r="P344" s="976"/>
      <c r="Q344" s="976"/>
      <c r="R344" s="976"/>
      <c r="S344" s="976"/>
      <c r="T344" s="976"/>
      <c r="U344" s="976"/>
      <c r="V344" s="976"/>
      <c r="W344" s="976"/>
      <c r="X344" s="976"/>
      <c r="Y344" s="976"/>
      <c r="Z344" s="976"/>
    </row>
    <row r="345" spans="1:26" ht="15" x14ac:dyDescent="0.25">
      <c r="A345" s="976"/>
      <c r="B345" s="976"/>
      <c r="C345" s="976"/>
      <c r="D345" s="976"/>
      <c r="E345" s="976"/>
      <c r="F345" s="976"/>
      <c r="G345" s="976"/>
      <c r="H345" s="976"/>
      <c r="I345" s="976"/>
      <c r="J345" s="976"/>
      <c r="K345" s="976"/>
      <c r="L345" s="976"/>
      <c r="M345" s="976"/>
      <c r="N345" s="976"/>
      <c r="O345" s="976"/>
      <c r="P345" s="976"/>
      <c r="Q345" s="976"/>
      <c r="R345" s="976"/>
      <c r="S345" s="976"/>
      <c r="T345" s="976"/>
      <c r="U345" s="976"/>
      <c r="V345" s="976"/>
      <c r="W345" s="976"/>
      <c r="X345" s="976"/>
      <c r="Y345" s="976"/>
      <c r="Z345" s="976"/>
    </row>
    <row r="346" spans="1:26" ht="15" x14ac:dyDescent="0.25">
      <c r="A346" s="976"/>
      <c r="B346" s="976"/>
      <c r="C346" s="976"/>
      <c r="D346" s="976"/>
      <c r="E346" s="976"/>
      <c r="F346" s="976"/>
      <c r="G346" s="976"/>
      <c r="H346" s="976"/>
      <c r="I346" s="976"/>
      <c r="J346" s="976"/>
      <c r="K346" s="976"/>
      <c r="L346" s="976"/>
      <c r="M346" s="976"/>
      <c r="N346" s="976"/>
      <c r="O346" s="976"/>
      <c r="P346" s="976"/>
      <c r="Q346" s="976"/>
      <c r="R346" s="976"/>
      <c r="S346" s="976"/>
      <c r="T346" s="976"/>
      <c r="U346" s="976"/>
      <c r="V346" s="976"/>
      <c r="W346" s="976"/>
      <c r="X346" s="976"/>
      <c r="Y346" s="976"/>
      <c r="Z346" s="976"/>
    </row>
    <row r="347" spans="1:26" ht="15" x14ac:dyDescent="0.25">
      <c r="A347" s="976"/>
      <c r="B347" s="976"/>
      <c r="C347" s="976"/>
      <c r="D347" s="976"/>
      <c r="E347" s="976"/>
      <c r="F347" s="976"/>
      <c r="G347" s="976"/>
      <c r="H347" s="976"/>
      <c r="I347" s="976"/>
      <c r="J347" s="976"/>
      <c r="K347" s="976"/>
      <c r="L347" s="976"/>
      <c r="M347" s="976"/>
      <c r="N347" s="976"/>
      <c r="O347" s="976"/>
      <c r="P347" s="976"/>
      <c r="Q347" s="976"/>
      <c r="R347" s="976"/>
      <c r="S347" s="976"/>
      <c r="T347" s="976"/>
      <c r="U347" s="976"/>
      <c r="V347" s="976"/>
      <c r="W347" s="976"/>
      <c r="X347" s="976"/>
      <c r="Y347" s="976"/>
      <c r="Z347" s="976"/>
    </row>
    <row r="348" spans="1:26" ht="15" x14ac:dyDescent="0.25">
      <c r="A348" s="976"/>
      <c r="B348" s="976"/>
      <c r="C348" s="976"/>
      <c r="D348" s="976"/>
      <c r="E348" s="976"/>
      <c r="F348" s="976"/>
      <c r="G348" s="976"/>
      <c r="H348" s="976"/>
      <c r="I348" s="976"/>
      <c r="J348" s="976"/>
      <c r="K348" s="976"/>
      <c r="L348" s="976"/>
      <c r="M348" s="976"/>
      <c r="N348" s="976"/>
      <c r="O348" s="976"/>
      <c r="P348" s="976"/>
      <c r="Q348" s="976"/>
      <c r="R348" s="976"/>
      <c r="S348" s="976"/>
      <c r="T348" s="976"/>
      <c r="U348" s="976"/>
      <c r="V348" s="976"/>
      <c r="W348" s="976"/>
      <c r="X348" s="976"/>
      <c r="Y348" s="976"/>
      <c r="Z348" s="976"/>
    </row>
    <row r="349" spans="1:26" ht="15" x14ac:dyDescent="0.25">
      <c r="A349" s="976"/>
      <c r="B349" s="976"/>
      <c r="C349" s="976"/>
      <c r="D349" s="976"/>
      <c r="E349" s="976"/>
      <c r="F349" s="976"/>
      <c r="G349" s="976"/>
      <c r="H349" s="976"/>
      <c r="I349" s="976"/>
      <c r="J349" s="976"/>
      <c r="K349" s="976"/>
      <c r="L349" s="976"/>
      <c r="M349" s="976"/>
      <c r="N349" s="976"/>
      <c r="O349" s="976"/>
      <c r="P349" s="976"/>
      <c r="Q349" s="976"/>
      <c r="R349" s="976"/>
      <c r="S349" s="976"/>
      <c r="T349" s="976"/>
      <c r="U349" s="976"/>
      <c r="V349" s="976"/>
      <c r="W349" s="976"/>
      <c r="X349" s="976"/>
      <c r="Y349" s="976"/>
      <c r="Z349" s="976"/>
    </row>
    <row r="350" spans="1:26" ht="15" x14ac:dyDescent="0.25">
      <c r="A350" s="976"/>
      <c r="B350" s="976"/>
      <c r="C350" s="976"/>
      <c r="D350" s="976"/>
      <c r="E350" s="976"/>
      <c r="F350" s="976"/>
      <c r="G350" s="976"/>
      <c r="H350" s="976"/>
      <c r="I350" s="976"/>
      <c r="J350" s="976"/>
      <c r="K350" s="976"/>
      <c r="L350" s="976"/>
      <c r="M350" s="976"/>
      <c r="N350" s="976"/>
      <c r="O350" s="976"/>
      <c r="P350" s="976"/>
      <c r="Q350" s="976"/>
      <c r="R350" s="976"/>
      <c r="S350" s="976"/>
      <c r="T350" s="976"/>
      <c r="U350" s="976"/>
      <c r="V350" s="976"/>
      <c r="W350" s="976"/>
      <c r="X350" s="976"/>
      <c r="Y350" s="976"/>
      <c r="Z350" s="976"/>
    </row>
    <row r="351" spans="1:26" ht="15" x14ac:dyDescent="0.25">
      <c r="A351" s="976"/>
      <c r="B351" s="976"/>
      <c r="C351" s="976"/>
      <c r="D351" s="976"/>
      <c r="E351" s="976"/>
      <c r="F351" s="976"/>
      <c r="G351" s="976"/>
      <c r="H351" s="976"/>
      <c r="I351" s="976"/>
      <c r="J351" s="976"/>
      <c r="K351" s="976"/>
      <c r="L351" s="976"/>
      <c r="M351" s="976"/>
      <c r="N351" s="976"/>
      <c r="O351" s="976"/>
      <c r="P351" s="976"/>
      <c r="Q351" s="976"/>
      <c r="R351" s="976"/>
      <c r="S351" s="976"/>
      <c r="T351" s="976"/>
      <c r="U351" s="976"/>
      <c r="V351" s="976"/>
      <c r="W351" s="976"/>
      <c r="X351" s="976"/>
      <c r="Y351" s="976"/>
      <c r="Z351" s="976"/>
    </row>
    <row r="352" spans="1:26" ht="15" x14ac:dyDescent="0.25">
      <c r="A352" s="976"/>
      <c r="B352" s="976"/>
      <c r="C352" s="976"/>
      <c r="D352" s="976"/>
      <c r="E352" s="976"/>
      <c r="F352" s="976"/>
      <c r="G352" s="976"/>
      <c r="H352" s="976"/>
      <c r="I352" s="976"/>
      <c r="J352" s="976"/>
      <c r="K352" s="976"/>
      <c r="L352" s="976"/>
      <c r="M352" s="976"/>
      <c r="N352" s="976"/>
      <c r="O352" s="976"/>
      <c r="P352" s="976"/>
      <c r="Q352" s="976"/>
      <c r="R352" s="976"/>
      <c r="S352" s="976"/>
      <c r="T352" s="976"/>
      <c r="U352" s="976"/>
      <c r="V352" s="976"/>
      <c r="W352" s="976"/>
      <c r="X352" s="976"/>
      <c r="Y352" s="976"/>
      <c r="Z352" s="976"/>
    </row>
    <row r="353" spans="1:26" ht="15" x14ac:dyDescent="0.25">
      <c r="A353" s="976"/>
      <c r="B353" s="976"/>
      <c r="C353" s="976"/>
      <c r="D353" s="976"/>
      <c r="E353" s="976"/>
      <c r="F353" s="976"/>
      <c r="G353" s="976"/>
      <c r="H353" s="976"/>
      <c r="I353" s="976"/>
      <c r="J353" s="976"/>
      <c r="K353" s="976"/>
      <c r="L353" s="976"/>
      <c r="M353" s="976"/>
      <c r="N353" s="976"/>
      <c r="O353" s="976"/>
      <c r="P353" s="976"/>
      <c r="Q353" s="976"/>
      <c r="R353" s="976"/>
      <c r="S353" s="976"/>
      <c r="T353" s="976"/>
      <c r="U353" s="976"/>
      <c r="V353" s="976"/>
      <c r="W353" s="976"/>
      <c r="X353" s="976"/>
      <c r="Y353" s="976"/>
      <c r="Z353" s="976"/>
    </row>
    <row r="354" spans="1:26" ht="15" x14ac:dyDescent="0.25">
      <c r="A354" s="976"/>
      <c r="B354" s="976"/>
      <c r="C354" s="976"/>
      <c r="D354" s="976"/>
      <c r="E354" s="976"/>
      <c r="F354" s="976"/>
      <c r="G354" s="976"/>
      <c r="H354" s="976"/>
      <c r="I354" s="976"/>
      <c r="J354" s="976"/>
      <c r="K354" s="976"/>
      <c r="L354" s="976"/>
      <c r="M354" s="976"/>
      <c r="N354" s="976"/>
      <c r="O354" s="976"/>
      <c r="P354" s="976"/>
      <c r="Q354" s="976"/>
      <c r="R354" s="976"/>
      <c r="S354" s="976"/>
      <c r="T354" s="976"/>
      <c r="U354" s="976"/>
      <c r="V354" s="976"/>
      <c r="W354" s="976"/>
      <c r="X354" s="976"/>
      <c r="Y354" s="976"/>
      <c r="Z354" s="976"/>
    </row>
    <row r="355" spans="1:26" ht="15" x14ac:dyDescent="0.25">
      <c r="A355" s="976"/>
      <c r="B355" s="976"/>
      <c r="C355" s="976"/>
      <c r="D355" s="976"/>
      <c r="E355" s="976"/>
      <c r="F355" s="976"/>
      <c r="G355" s="976"/>
      <c r="H355" s="976"/>
      <c r="I355" s="976"/>
      <c r="J355" s="976"/>
      <c r="K355" s="976"/>
      <c r="L355" s="976"/>
      <c r="M355" s="976"/>
      <c r="N355" s="976"/>
      <c r="O355" s="976"/>
      <c r="P355" s="976"/>
      <c r="Q355" s="976"/>
      <c r="R355" s="976"/>
      <c r="S355" s="976"/>
      <c r="T355" s="976"/>
      <c r="U355" s="976"/>
      <c r="V355" s="976"/>
      <c r="W355" s="976"/>
      <c r="X355" s="976"/>
      <c r="Y355" s="976"/>
      <c r="Z355" s="976"/>
    </row>
    <row r="356" spans="1:26" ht="15" x14ac:dyDescent="0.25">
      <c r="A356" s="976"/>
      <c r="B356" s="976"/>
      <c r="C356" s="976"/>
      <c r="D356" s="976"/>
      <c r="E356" s="976"/>
      <c r="F356" s="976"/>
      <c r="G356" s="976"/>
      <c r="H356" s="976"/>
      <c r="I356" s="976"/>
      <c r="J356" s="976"/>
      <c r="K356" s="976"/>
      <c r="L356" s="976"/>
      <c r="M356" s="976"/>
      <c r="N356" s="976"/>
      <c r="O356" s="976"/>
      <c r="P356" s="976"/>
      <c r="Q356" s="976"/>
      <c r="R356" s="976"/>
      <c r="S356" s="976"/>
      <c r="T356" s="976"/>
      <c r="U356" s="976"/>
      <c r="V356" s="976"/>
      <c r="W356" s="976"/>
      <c r="X356" s="976"/>
      <c r="Y356" s="976"/>
      <c r="Z356" s="976"/>
    </row>
    <row r="357" spans="1:26" ht="15" x14ac:dyDescent="0.25">
      <c r="A357" s="976"/>
      <c r="B357" s="976"/>
      <c r="C357" s="976"/>
      <c r="D357" s="976"/>
      <c r="E357" s="976"/>
      <c r="F357" s="976"/>
      <c r="G357" s="976"/>
      <c r="H357" s="976"/>
      <c r="I357" s="976"/>
      <c r="J357" s="976"/>
      <c r="K357" s="976"/>
      <c r="L357" s="976"/>
      <c r="M357" s="976"/>
      <c r="N357" s="976"/>
      <c r="O357" s="976"/>
      <c r="P357" s="976"/>
      <c r="Q357" s="976"/>
      <c r="R357" s="976"/>
      <c r="S357" s="976"/>
      <c r="T357" s="976"/>
      <c r="U357" s="976"/>
      <c r="V357" s="976"/>
      <c r="W357" s="976"/>
      <c r="X357" s="976"/>
      <c r="Y357" s="976"/>
      <c r="Z357" s="976"/>
    </row>
    <row r="358" spans="1:26" ht="15" x14ac:dyDescent="0.25">
      <c r="A358" s="976"/>
      <c r="B358" s="976"/>
      <c r="C358" s="976"/>
      <c r="D358" s="976"/>
      <c r="E358" s="976"/>
      <c r="F358" s="976"/>
      <c r="G358" s="976"/>
      <c r="H358" s="976"/>
      <c r="I358" s="976"/>
      <c r="J358" s="976"/>
      <c r="K358" s="976"/>
      <c r="L358" s="976"/>
      <c r="M358" s="976"/>
      <c r="N358" s="976"/>
      <c r="O358" s="976"/>
      <c r="P358" s="976"/>
      <c r="Q358" s="976"/>
      <c r="R358" s="976"/>
      <c r="S358" s="976"/>
      <c r="T358" s="976"/>
      <c r="U358" s="976"/>
      <c r="V358" s="976"/>
      <c r="W358" s="976"/>
      <c r="X358" s="976"/>
      <c r="Y358" s="976"/>
      <c r="Z358" s="976"/>
    </row>
    <row r="359" spans="1:26" ht="15" x14ac:dyDescent="0.25">
      <c r="A359" s="976"/>
      <c r="B359" s="976"/>
      <c r="C359" s="976"/>
      <c r="D359" s="976"/>
      <c r="E359" s="976"/>
      <c r="F359" s="976"/>
      <c r="G359" s="976"/>
      <c r="H359" s="976"/>
      <c r="I359" s="976"/>
      <c r="J359" s="976"/>
      <c r="K359" s="976"/>
      <c r="L359" s="976"/>
      <c r="M359" s="976"/>
      <c r="N359" s="976"/>
      <c r="O359" s="976"/>
      <c r="P359" s="976"/>
      <c r="Q359" s="976"/>
      <c r="R359" s="976"/>
      <c r="S359" s="976"/>
      <c r="T359" s="976"/>
      <c r="U359" s="976"/>
      <c r="V359" s="976"/>
      <c r="W359" s="976"/>
      <c r="X359" s="976"/>
      <c r="Y359" s="976"/>
      <c r="Z359" s="976"/>
    </row>
    <row r="360" spans="1:26" ht="15" x14ac:dyDescent="0.25">
      <c r="A360" s="976"/>
      <c r="B360" s="976"/>
      <c r="C360" s="976"/>
      <c r="D360" s="976"/>
      <c r="E360" s="976"/>
      <c r="F360" s="976"/>
      <c r="G360" s="976"/>
      <c r="H360" s="976"/>
      <c r="I360" s="976"/>
      <c r="J360" s="976"/>
      <c r="K360" s="976"/>
      <c r="L360" s="976"/>
      <c r="M360" s="976"/>
      <c r="N360" s="976"/>
      <c r="O360" s="976"/>
      <c r="P360" s="976"/>
      <c r="Q360" s="976"/>
      <c r="R360" s="976"/>
      <c r="S360" s="976"/>
      <c r="T360" s="976"/>
      <c r="U360" s="976"/>
      <c r="V360" s="976"/>
      <c r="W360" s="976"/>
      <c r="X360" s="976"/>
      <c r="Y360" s="976"/>
      <c r="Z360" s="976"/>
    </row>
    <row r="361" spans="1:26" ht="15" x14ac:dyDescent="0.25">
      <c r="A361" s="976"/>
      <c r="B361" s="976"/>
      <c r="C361" s="976"/>
      <c r="D361" s="976"/>
      <c r="E361" s="976"/>
      <c r="F361" s="976"/>
      <c r="G361" s="976"/>
      <c r="H361" s="976"/>
      <c r="I361" s="976"/>
      <c r="J361" s="976"/>
      <c r="K361" s="976"/>
      <c r="L361" s="976"/>
      <c r="M361" s="976"/>
      <c r="N361" s="976"/>
      <c r="O361" s="976"/>
      <c r="P361" s="976"/>
      <c r="Q361" s="976"/>
      <c r="R361" s="976"/>
      <c r="S361" s="976"/>
      <c r="T361" s="976"/>
      <c r="U361" s="976"/>
      <c r="V361" s="976"/>
      <c r="W361" s="976"/>
      <c r="X361" s="976"/>
      <c r="Y361" s="976"/>
      <c r="Z361" s="976"/>
    </row>
    <row r="362" spans="1:26" ht="15" x14ac:dyDescent="0.25">
      <c r="A362" s="976"/>
      <c r="B362" s="976"/>
      <c r="C362" s="976"/>
      <c r="D362" s="976"/>
      <c r="E362" s="976"/>
      <c r="F362" s="976"/>
      <c r="G362" s="976"/>
      <c r="H362" s="976"/>
      <c r="I362" s="976"/>
      <c r="J362" s="976"/>
      <c r="K362" s="976"/>
      <c r="L362" s="976"/>
      <c r="M362" s="976"/>
      <c r="N362" s="976"/>
      <c r="O362" s="976"/>
      <c r="P362" s="976"/>
      <c r="Q362" s="976"/>
      <c r="R362" s="976"/>
      <c r="S362" s="976"/>
      <c r="T362" s="976"/>
      <c r="U362" s="976"/>
      <c r="V362" s="976"/>
      <c r="W362" s="976"/>
      <c r="X362" s="976"/>
      <c r="Y362" s="976"/>
      <c r="Z362" s="976"/>
    </row>
    <row r="363" spans="1:26" ht="15" x14ac:dyDescent="0.25">
      <c r="A363" s="976"/>
      <c r="B363" s="976"/>
      <c r="C363" s="976"/>
      <c r="D363" s="976"/>
      <c r="E363" s="976"/>
      <c r="F363" s="976"/>
      <c r="G363" s="976"/>
      <c r="H363" s="976"/>
      <c r="I363" s="976"/>
      <c r="J363" s="976"/>
      <c r="K363" s="976"/>
      <c r="L363" s="976"/>
      <c r="M363" s="976"/>
      <c r="N363" s="976"/>
      <c r="O363" s="976"/>
      <c r="P363" s="976"/>
      <c r="Q363" s="976"/>
      <c r="R363" s="976"/>
      <c r="S363" s="976"/>
      <c r="T363" s="976"/>
      <c r="U363" s="976"/>
      <c r="V363" s="976"/>
      <c r="W363" s="976"/>
      <c r="X363" s="976"/>
      <c r="Y363" s="976"/>
      <c r="Z363" s="976"/>
    </row>
    <row r="364" spans="1:26" ht="15" x14ac:dyDescent="0.25">
      <c r="A364" s="976"/>
      <c r="B364" s="976"/>
      <c r="C364" s="976"/>
      <c r="D364" s="976"/>
      <c r="E364" s="976"/>
      <c r="F364" s="976"/>
      <c r="G364" s="976"/>
      <c r="H364" s="976"/>
      <c r="I364" s="976"/>
      <c r="J364" s="976"/>
      <c r="K364" s="976"/>
      <c r="L364" s="976"/>
      <c r="M364" s="976"/>
      <c r="N364" s="976"/>
      <c r="O364" s="976"/>
      <c r="P364" s="976"/>
      <c r="Q364" s="976"/>
      <c r="R364" s="976"/>
      <c r="S364" s="976"/>
      <c r="T364" s="976"/>
      <c r="U364" s="976"/>
      <c r="V364" s="976"/>
      <c r="W364" s="976"/>
      <c r="X364" s="976"/>
      <c r="Y364" s="976"/>
      <c r="Z364" s="976"/>
    </row>
    <row r="365" spans="1:26" ht="15" x14ac:dyDescent="0.25">
      <c r="A365" s="976"/>
      <c r="B365" s="976"/>
      <c r="C365" s="976"/>
      <c r="D365" s="976"/>
      <c r="E365" s="976"/>
      <c r="F365" s="976"/>
      <c r="G365" s="976"/>
      <c r="H365" s="976"/>
      <c r="I365" s="976"/>
      <c r="J365" s="976"/>
      <c r="K365" s="976"/>
      <c r="L365" s="976"/>
      <c r="M365" s="976"/>
      <c r="N365" s="976"/>
      <c r="O365" s="976"/>
      <c r="P365" s="976"/>
      <c r="Q365" s="976"/>
      <c r="R365" s="976"/>
      <c r="S365" s="976"/>
      <c r="T365" s="976"/>
      <c r="U365" s="976"/>
      <c r="V365" s="976"/>
      <c r="W365" s="976"/>
      <c r="X365" s="976"/>
      <c r="Y365" s="976"/>
      <c r="Z365" s="976"/>
    </row>
    <row r="366" spans="1:26" ht="15" x14ac:dyDescent="0.25">
      <c r="A366" s="976"/>
      <c r="B366" s="976"/>
      <c r="C366" s="976"/>
      <c r="D366" s="976"/>
      <c r="E366" s="976"/>
      <c r="F366" s="976"/>
      <c r="G366" s="976"/>
      <c r="H366" s="976"/>
      <c r="I366" s="976"/>
      <c r="J366" s="976"/>
      <c r="K366" s="976"/>
      <c r="L366" s="976"/>
      <c r="M366" s="976"/>
      <c r="N366" s="976"/>
      <c r="O366" s="976"/>
      <c r="P366" s="976"/>
      <c r="Q366" s="976"/>
      <c r="R366" s="976"/>
      <c r="S366" s="976"/>
      <c r="T366" s="976"/>
      <c r="U366" s="976"/>
      <c r="V366" s="976"/>
      <c r="W366" s="976"/>
      <c r="X366" s="976"/>
      <c r="Y366" s="976"/>
      <c r="Z366" s="976"/>
    </row>
    <row r="367" spans="1:26" ht="15" x14ac:dyDescent="0.25">
      <c r="A367" s="976"/>
      <c r="B367" s="976"/>
      <c r="C367" s="976"/>
      <c r="D367" s="976"/>
      <c r="E367" s="976"/>
      <c r="F367" s="976"/>
      <c r="G367" s="976"/>
      <c r="H367" s="976"/>
      <c r="I367" s="976"/>
      <c r="J367" s="976"/>
      <c r="K367" s="976"/>
      <c r="L367" s="976"/>
      <c r="M367" s="976"/>
      <c r="N367" s="976"/>
      <c r="O367" s="976"/>
      <c r="P367" s="976"/>
      <c r="Q367" s="976"/>
      <c r="R367" s="976"/>
      <c r="S367" s="976"/>
      <c r="T367" s="976"/>
      <c r="U367" s="976"/>
      <c r="V367" s="976"/>
      <c r="W367" s="976"/>
      <c r="X367" s="976"/>
      <c r="Y367" s="976"/>
      <c r="Z367" s="976"/>
    </row>
    <row r="368" spans="1:26" ht="15" x14ac:dyDescent="0.25">
      <c r="A368" s="976"/>
      <c r="B368" s="976"/>
      <c r="C368" s="976"/>
      <c r="D368" s="976"/>
      <c r="E368" s="976"/>
      <c r="F368" s="976"/>
      <c r="G368" s="976"/>
      <c r="H368" s="976"/>
      <c r="I368" s="976"/>
      <c r="J368" s="976"/>
      <c r="K368" s="976"/>
      <c r="L368" s="976"/>
      <c r="M368" s="976"/>
      <c r="N368" s="976"/>
      <c r="O368" s="976"/>
      <c r="P368" s="976"/>
      <c r="Q368" s="976"/>
      <c r="R368" s="976"/>
      <c r="S368" s="976"/>
      <c r="T368" s="976"/>
      <c r="U368" s="976"/>
      <c r="V368" s="976"/>
      <c r="W368" s="976"/>
      <c r="X368" s="976"/>
      <c r="Y368" s="976"/>
      <c r="Z368" s="976"/>
    </row>
    <row r="369" spans="1:26" ht="15" x14ac:dyDescent="0.25">
      <c r="A369" s="976"/>
      <c r="B369" s="976"/>
      <c r="C369" s="976"/>
      <c r="D369" s="976"/>
      <c r="E369" s="976"/>
      <c r="F369" s="976"/>
      <c r="G369" s="976"/>
      <c r="H369" s="976"/>
      <c r="I369" s="976"/>
      <c r="J369" s="976"/>
      <c r="K369" s="976"/>
      <c r="L369" s="976"/>
      <c r="M369" s="976"/>
      <c r="N369" s="976"/>
      <c r="O369" s="976"/>
      <c r="P369" s="976"/>
      <c r="Q369" s="976"/>
      <c r="R369" s="976"/>
      <c r="S369" s="976"/>
      <c r="T369" s="976"/>
      <c r="U369" s="976"/>
      <c r="V369" s="976"/>
      <c r="W369" s="976"/>
      <c r="X369" s="976"/>
      <c r="Y369" s="976"/>
      <c r="Z369" s="976"/>
    </row>
    <row r="370" spans="1:26" ht="15" x14ac:dyDescent="0.25">
      <c r="A370" s="976"/>
      <c r="B370" s="976"/>
      <c r="C370" s="976"/>
      <c r="D370" s="976"/>
      <c r="E370" s="976"/>
      <c r="F370" s="976"/>
      <c r="G370" s="976"/>
      <c r="H370" s="976"/>
      <c r="I370" s="976"/>
      <c r="J370" s="976"/>
      <c r="K370" s="976"/>
      <c r="L370" s="976"/>
      <c r="M370" s="976"/>
      <c r="N370" s="976"/>
      <c r="O370" s="976"/>
      <c r="P370" s="976"/>
      <c r="Q370" s="976"/>
      <c r="R370" s="976"/>
      <c r="S370" s="976"/>
      <c r="T370" s="976"/>
      <c r="U370" s="976"/>
      <c r="V370" s="976"/>
      <c r="W370" s="976"/>
      <c r="X370" s="976"/>
      <c r="Y370" s="976"/>
      <c r="Z370" s="976"/>
    </row>
    <row r="371" spans="1:26" ht="15" x14ac:dyDescent="0.25">
      <c r="A371" s="976"/>
      <c r="B371" s="976"/>
      <c r="C371" s="976"/>
      <c r="D371" s="976"/>
      <c r="E371" s="976"/>
      <c r="F371" s="976"/>
      <c r="G371" s="976"/>
      <c r="H371" s="976"/>
      <c r="I371" s="976"/>
      <c r="J371" s="976"/>
      <c r="K371" s="976"/>
      <c r="L371" s="976"/>
      <c r="M371" s="976"/>
      <c r="N371" s="976"/>
      <c r="O371" s="976"/>
      <c r="P371" s="976"/>
      <c r="Q371" s="976"/>
      <c r="R371" s="976"/>
      <c r="S371" s="976"/>
      <c r="T371" s="976"/>
      <c r="U371" s="976"/>
      <c r="V371" s="976"/>
      <c r="W371" s="976"/>
      <c r="X371" s="976"/>
      <c r="Y371" s="976"/>
      <c r="Z371" s="976"/>
    </row>
    <row r="372" spans="1:26" ht="15" x14ac:dyDescent="0.25">
      <c r="A372" s="976"/>
      <c r="B372" s="976"/>
      <c r="C372" s="976"/>
      <c r="D372" s="976"/>
      <c r="E372" s="976"/>
      <c r="F372" s="976"/>
      <c r="G372" s="976"/>
      <c r="H372" s="976"/>
      <c r="I372" s="976"/>
      <c r="J372" s="976"/>
      <c r="K372" s="976"/>
      <c r="L372" s="976"/>
      <c r="M372" s="976"/>
      <c r="N372" s="976"/>
      <c r="O372" s="976"/>
      <c r="P372" s="976"/>
      <c r="Q372" s="976"/>
      <c r="R372" s="976"/>
      <c r="S372" s="976"/>
      <c r="T372" s="976"/>
      <c r="U372" s="976"/>
      <c r="V372" s="976"/>
      <c r="W372" s="976"/>
      <c r="X372" s="976"/>
      <c r="Y372" s="976"/>
      <c r="Z372" s="976"/>
    </row>
    <row r="373" spans="1:26" ht="15" x14ac:dyDescent="0.25">
      <c r="A373" s="976"/>
      <c r="B373" s="976"/>
      <c r="C373" s="976"/>
      <c r="D373" s="976"/>
      <c r="E373" s="976"/>
      <c r="F373" s="976"/>
      <c r="G373" s="976"/>
      <c r="H373" s="976"/>
      <c r="I373" s="976"/>
      <c r="J373" s="976"/>
      <c r="K373" s="976"/>
      <c r="L373" s="976"/>
      <c r="M373" s="976"/>
      <c r="N373" s="976"/>
      <c r="O373" s="976"/>
      <c r="P373" s="976"/>
      <c r="Q373" s="976"/>
      <c r="R373" s="976"/>
      <c r="S373" s="976"/>
      <c r="T373" s="976"/>
      <c r="U373" s="976"/>
      <c r="V373" s="976"/>
      <c r="W373" s="976"/>
      <c r="X373" s="976"/>
      <c r="Y373" s="976"/>
      <c r="Z373" s="976"/>
    </row>
    <row r="374" spans="1:26" ht="15" x14ac:dyDescent="0.25">
      <c r="A374" s="976"/>
      <c r="B374" s="976"/>
      <c r="C374" s="976"/>
      <c r="D374" s="976"/>
      <c r="E374" s="976"/>
      <c r="F374" s="976"/>
      <c r="G374" s="976"/>
      <c r="H374" s="976"/>
      <c r="I374" s="976"/>
      <c r="J374" s="976"/>
      <c r="K374" s="976"/>
      <c r="L374" s="976"/>
      <c r="M374" s="976"/>
      <c r="N374" s="976"/>
      <c r="O374" s="976"/>
      <c r="P374" s="976"/>
      <c r="Q374" s="976"/>
      <c r="R374" s="976"/>
      <c r="S374" s="976"/>
      <c r="T374" s="976"/>
      <c r="U374" s="976"/>
      <c r="V374" s="976"/>
      <c r="W374" s="976"/>
      <c r="X374" s="976"/>
      <c r="Y374" s="976"/>
      <c r="Z374" s="976"/>
    </row>
    <row r="375" spans="1:26" ht="15" x14ac:dyDescent="0.25">
      <c r="A375" s="976"/>
      <c r="B375" s="976"/>
      <c r="C375" s="976"/>
      <c r="D375" s="976"/>
      <c r="E375" s="976"/>
      <c r="F375" s="976"/>
      <c r="G375" s="976"/>
      <c r="H375" s="976"/>
      <c r="I375" s="976"/>
      <c r="J375" s="976"/>
      <c r="K375" s="976"/>
      <c r="L375" s="976"/>
      <c r="M375" s="976"/>
      <c r="N375" s="976"/>
      <c r="O375" s="976"/>
      <c r="P375" s="976"/>
      <c r="Q375" s="976"/>
      <c r="R375" s="976"/>
      <c r="S375" s="976"/>
      <c r="T375" s="976"/>
      <c r="U375" s="976"/>
      <c r="V375" s="976"/>
      <c r="W375" s="976"/>
      <c r="X375" s="976"/>
      <c r="Y375" s="976"/>
      <c r="Z375" s="976"/>
    </row>
    <row r="376" spans="1:26" ht="15" x14ac:dyDescent="0.25">
      <c r="A376" s="976"/>
      <c r="B376" s="976"/>
      <c r="C376" s="976"/>
      <c r="D376" s="976"/>
      <c r="E376" s="976"/>
      <c r="F376" s="976"/>
      <c r="G376" s="976"/>
      <c r="H376" s="976"/>
      <c r="I376" s="976"/>
      <c r="J376" s="976"/>
      <c r="K376" s="976"/>
      <c r="L376" s="976"/>
      <c r="M376" s="976"/>
      <c r="N376" s="976"/>
      <c r="O376" s="976"/>
      <c r="P376" s="976"/>
      <c r="Q376" s="976"/>
      <c r="R376" s="976"/>
      <c r="S376" s="976"/>
      <c r="T376" s="976"/>
      <c r="U376" s="976"/>
      <c r="V376" s="976"/>
      <c r="W376" s="976"/>
      <c r="X376" s="976"/>
      <c r="Y376" s="976"/>
      <c r="Z376" s="976"/>
    </row>
    <row r="377" spans="1:26" ht="15" x14ac:dyDescent="0.25">
      <c r="A377" s="976"/>
      <c r="B377" s="976"/>
      <c r="C377" s="976"/>
      <c r="D377" s="976"/>
      <c r="E377" s="976"/>
      <c r="F377" s="976"/>
      <c r="G377" s="976"/>
      <c r="H377" s="976"/>
      <c r="I377" s="976"/>
      <c r="J377" s="976"/>
      <c r="K377" s="976"/>
      <c r="L377" s="976"/>
      <c r="M377" s="976"/>
      <c r="N377" s="976"/>
      <c r="O377" s="976"/>
      <c r="P377" s="976"/>
      <c r="Q377" s="976"/>
      <c r="R377" s="976"/>
      <c r="S377" s="976"/>
      <c r="T377" s="976"/>
      <c r="U377" s="976"/>
      <c r="V377" s="976"/>
      <c r="W377" s="976"/>
      <c r="X377" s="976"/>
      <c r="Y377" s="976"/>
      <c r="Z377" s="976"/>
    </row>
    <row r="378" spans="1:26" ht="15" x14ac:dyDescent="0.25">
      <c r="A378" s="976"/>
      <c r="B378" s="976"/>
      <c r="C378" s="976"/>
      <c r="D378" s="976"/>
      <c r="E378" s="976"/>
      <c r="F378" s="976"/>
      <c r="G378" s="976"/>
      <c r="H378" s="976"/>
      <c r="I378" s="976"/>
      <c r="J378" s="976"/>
      <c r="K378" s="976"/>
      <c r="L378" s="976"/>
      <c r="M378" s="976"/>
      <c r="N378" s="976"/>
      <c r="O378" s="976"/>
      <c r="P378" s="976"/>
      <c r="Q378" s="976"/>
      <c r="R378" s="976"/>
      <c r="S378" s="976"/>
      <c r="T378" s="976"/>
      <c r="U378" s="976"/>
      <c r="V378" s="976"/>
      <c r="W378" s="976"/>
      <c r="X378" s="976"/>
      <c r="Y378" s="976"/>
      <c r="Z378" s="976"/>
    </row>
    <row r="379" spans="1:26" ht="15" x14ac:dyDescent="0.25">
      <c r="A379" s="976"/>
      <c r="B379" s="976"/>
      <c r="C379" s="976"/>
      <c r="D379" s="976"/>
      <c r="E379" s="976"/>
      <c r="F379" s="976"/>
      <c r="G379" s="976"/>
      <c r="H379" s="976"/>
      <c r="I379" s="976"/>
      <c r="J379" s="976"/>
      <c r="K379" s="976"/>
      <c r="L379" s="976"/>
      <c r="M379" s="976"/>
      <c r="N379" s="976"/>
      <c r="O379" s="976"/>
      <c r="P379" s="976"/>
      <c r="Q379" s="976"/>
      <c r="R379" s="976"/>
      <c r="S379" s="976"/>
      <c r="T379" s="976"/>
      <c r="U379" s="976"/>
      <c r="V379" s="976"/>
      <c r="W379" s="976"/>
      <c r="X379" s="976"/>
      <c r="Y379" s="976"/>
      <c r="Z379" s="976"/>
    </row>
    <row r="380" spans="1:26" ht="15" x14ac:dyDescent="0.25">
      <c r="A380" s="976"/>
      <c r="B380" s="976"/>
      <c r="C380" s="976"/>
      <c r="D380" s="976"/>
      <c r="E380" s="976"/>
      <c r="F380" s="976"/>
      <c r="G380" s="976"/>
      <c r="H380" s="976"/>
      <c r="I380" s="976"/>
      <c r="J380" s="976"/>
      <c r="K380" s="976"/>
      <c r="L380" s="976"/>
      <c r="M380" s="976"/>
      <c r="N380" s="976"/>
      <c r="O380" s="976"/>
      <c r="P380" s="976"/>
      <c r="Q380" s="976"/>
      <c r="R380" s="976"/>
      <c r="S380" s="976"/>
      <c r="T380" s="976"/>
      <c r="U380" s="976"/>
      <c r="V380" s="976"/>
      <c r="W380" s="976"/>
      <c r="X380" s="976"/>
      <c r="Y380" s="976"/>
      <c r="Z380" s="976"/>
    </row>
    <row r="381" spans="1:26" ht="15" x14ac:dyDescent="0.25">
      <c r="A381" s="976"/>
      <c r="B381" s="976"/>
      <c r="C381" s="976"/>
      <c r="D381" s="976"/>
      <c r="E381" s="976"/>
      <c r="F381" s="976"/>
      <c r="G381" s="976"/>
      <c r="H381" s="976"/>
      <c r="I381" s="976"/>
      <c r="J381" s="976"/>
      <c r="K381" s="976"/>
      <c r="L381" s="976"/>
      <c r="M381" s="976"/>
      <c r="N381" s="976"/>
      <c r="O381" s="976"/>
      <c r="P381" s="976"/>
      <c r="Q381" s="976"/>
      <c r="R381" s="976"/>
      <c r="S381" s="976"/>
      <c r="T381" s="976"/>
      <c r="U381" s="976"/>
      <c r="V381" s="976"/>
      <c r="W381" s="976"/>
      <c r="X381" s="976"/>
      <c r="Y381" s="976"/>
      <c r="Z381" s="976"/>
    </row>
    <row r="382" spans="1:26" ht="15" x14ac:dyDescent="0.25">
      <c r="A382" s="976"/>
      <c r="B382" s="976"/>
      <c r="C382" s="976"/>
      <c r="D382" s="976"/>
      <c r="E382" s="976"/>
      <c r="F382" s="976"/>
      <c r="G382" s="976"/>
      <c r="H382" s="976"/>
      <c r="I382" s="976"/>
      <c r="J382" s="976"/>
      <c r="K382" s="976"/>
      <c r="L382" s="976"/>
      <c r="M382" s="976"/>
      <c r="N382" s="976"/>
      <c r="O382" s="976"/>
      <c r="P382" s="976"/>
      <c r="Q382" s="976"/>
      <c r="R382" s="976"/>
      <c r="S382" s="976"/>
      <c r="T382" s="976"/>
      <c r="U382" s="976"/>
      <c r="V382" s="976"/>
      <c r="W382" s="976"/>
      <c r="X382" s="976"/>
      <c r="Y382" s="976"/>
      <c r="Z382" s="976"/>
    </row>
    <row r="383" spans="1:26" ht="15" x14ac:dyDescent="0.25">
      <c r="A383" s="976"/>
      <c r="B383" s="976"/>
      <c r="C383" s="976"/>
      <c r="D383" s="976"/>
      <c r="E383" s="976"/>
      <c r="F383" s="976"/>
      <c r="G383" s="976"/>
      <c r="H383" s="976"/>
      <c r="I383" s="976"/>
      <c r="J383" s="976"/>
      <c r="K383" s="976"/>
      <c r="L383" s="976"/>
      <c r="M383" s="976"/>
      <c r="N383" s="976"/>
      <c r="O383" s="976"/>
      <c r="P383" s="976"/>
      <c r="Q383" s="976"/>
      <c r="R383" s="976"/>
      <c r="S383" s="976"/>
      <c r="T383" s="976"/>
      <c r="U383" s="976"/>
      <c r="V383" s="976"/>
      <c r="W383" s="976"/>
      <c r="X383" s="976"/>
      <c r="Y383" s="976"/>
      <c r="Z383" s="976"/>
    </row>
    <row r="384" spans="1:26" ht="15" x14ac:dyDescent="0.25">
      <c r="A384" s="976"/>
      <c r="B384" s="976"/>
      <c r="C384" s="976"/>
      <c r="D384" s="976"/>
      <c r="E384" s="976"/>
      <c r="F384" s="976"/>
      <c r="G384" s="976"/>
      <c r="H384" s="976"/>
      <c r="I384" s="976"/>
      <c r="J384" s="976"/>
      <c r="K384" s="976"/>
      <c r="L384" s="976"/>
      <c r="M384" s="976"/>
      <c r="N384" s="976"/>
      <c r="O384" s="976"/>
      <c r="P384" s="976"/>
      <c r="Q384" s="976"/>
      <c r="R384" s="976"/>
      <c r="S384" s="976"/>
      <c r="T384" s="976"/>
      <c r="U384" s="976"/>
      <c r="V384" s="976"/>
      <c r="W384" s="976"/>
      <c r="X384" s="976"/>
      <c r="Y384" s="976"/>
      <c r="Z384" s="976"/>
    </row>
    <row r="385" spans="1:26" ht="15" x14ac:dyDescent="0.25">
      <c r="A385" s="976"/>
      <c r="B385" s="976"/>
      <c r="C385" s="976"/>
      <c r="D385" s="976"/>
      <c r="E385" s="976"/>
      <c r="F385" s="976"/>
      <c r="G385" s="976"/>
      <c r="H385" s="976"/>
      <c r="I385" s="976"/>
      <c r="J385" s="976"/>
      <c r="K385" s="976"/>
      <c r="L385" s="976"/>
      <c r="M385" s="976"/>
      <c r="N385" s="976"/>
      <c r="O385" s="976"/>
      <c r="P385" s="976"/>
      <c r="Q385" s="976"/>
      <c r="R385" s="976"/>
      <c r="S385" s="976"/>
      <c r="T385" s="976"/>
      <c r="U385" s="976"/>
      <c r="V385" s="976"/>
      <c r="W385" s="976"/>
      <c r="X385" s="976"/>
      <c r="Y385" s="976"/>
      <c r="Z385" s="976"/>
    </row>
    <row r="386" spans="1:26" ht="15" x14ac:dyDescent="0.25">
      <c r="A386" s="976"/>
      <c r="B386" s="976"/>
      <c r="C386" s="976"/>
      <c r="D386" s="976"/>
      <c r="E386" s="976"/>
      <c r="F386" s="976"/>
      <c r="G386" s="976"/>
      <c r="H386" s="976"/>
      <c r="I386" s="976"/>
      <c r="J386" s="976"/>
      <c r="K386" s="976"/>
      <c r="L386" s="976"/>
      <c r="M386" s="976"/>
      <c r="N386" s="976"/>
      <c r="O386" s="976"/>
      <c r="P386" s="976"/>
      <c r="Q386" s="976"/>
      <c r="R386" s="976"/>
      <c r="S386" s="976"/>
      <c r="T386" s="976"/>
      <c r="U386" s="976"/>
      <c r="V386" s="976"/>
      <c r="W386" s="976"/>
      <c r="X386" s="976"/>
      <c r="Y386" s="976"/>
      <c r="Z386" s="976"/>
    </row>
    <row r="387" spans="1:26" ht="15" x14ac:dyDescent="0.25">
      <c r="A387" s="976"/>
      <c r="B387" s="976"/>
      <c r="C387" s="976"/>
      <c r="D387" s="976"/>
      <c r="E387" s="976"/>
      <c r="F387" s="976"/>
      <c r="G387" s="976"/>
      <c r="H387" s="976"/>
      <c r="I387" s="976"/>
      <c r="J387" s="976"/>
      <c r="K387" s="976"/>
      <c r="L387" s="976"/>
      <c r="M387" s="976"/>
      <c r="N387" s="976"/>
      <c r="O387" s="976"/>
      <c r="P387" s="976"/>
      <c r="Q387" s="976"/>
      <c r="R387" s="976"/>
      <c r="S387" s="976"/>
      <c r="T387" s="976"/>
      <c r="U387" s="976"/>
      <c r="V387" s="976"/>
      <c r="W387" s="976"/>
      <c r="X387" s="976"/>
      <c r="Y387" s="976"/>
      <c r="Z387" s="976"/>
    </row>
    <row r="388" spans="1:26" ht="15" x14ac:dyDescent="0.25">
      <c r="A388" s="976"/>
      <c r="B388" s="976"/>
      <c r="C388" s="976"/>
      <c r="D388" s="976"/>
      <c r="E388" s="976"/>
      <c r="F388" s="976"/>
      <c r="G388" s="976"/>
      <c r="H388" s="976"/>
      <c r="I388" s="976"/>
      <c r="J388" s="976"/>
      <c r="K388" s="976"/>
      <c r="L388" s="976"/>
      <c r="M388" s="976"/>
      <c r="N388" s="976"/>
      <c r="O388" s="976"/>
      <c r="P388" s="976"/>
      <c r="Q388" s="976"/>
      <c r="R388" s="976"/>
      <c r="S388" s="976"/>
      <c r="T388" s="976"/>
      <c r="U388" s="976"/>
      <c r="V388" s="976"/>
      <c r="W388" s="976"/>
      <c r="X388" s="976"/>
      <c r="Y388" s="976"/>
      <c r="Z388" s="976"/>
    </row>
    <row r="389" spans="1:26" ht="15" x14ac:dyDescent="0.25">
      <c r="A389" s="976"/>
      <c r="B389" s="976"/>
      <c r="C389" s="976"/>
      <c r="D389" s="976"/>
      <c r="E389" s="976"/>
      <c r="F389" s="976"/>
      <c r="G389" s="976"/>
      <c r="H389" s="976"/>
      <c r="I389" s="976"/>
      <c r="J389" s="976"/>
      <c r="K389" s="976"/>
      <c r="L389" s="976"/>
      <c r="M389" s="976"/>
      <c r="N389" s="976"/>
      <c r="O389" s="976"/>
      <c r="P389" s="976"/>
      <c r="Q389" s="976"/>
      <c r="R389" s="976"/>
      <c r="S389" s="976"/>
      <c r="T389" s="976"/>
      <c r="U389" s="976"/>
      <c r="V389" s="976"/>
      <c r="W389" s="976"/>
      <c r="X389" s="976"/>
      <c r="Y389" s="976"/>
      <c r="Z389" s="976"/>
    </row>
    <row r="390" spans="1:26" ht="15" x14ac:dyDescent="0.25">
      <c r="A390" s="976"/>
      <c r="B390" s="976"/>
      <c r="C390" s="976"/>
      <c r="D390" s="976"/>
      <c r="E390" s="976"/>
      <c r="F390" s="976"/>
      <c r="G390" s="976"/>
      <c r="H390" s="976"/>
      <c r="I390" s="976"/>
      <c r="J390" s="976"/>
      <c r="K390" s="976"/>
      <c r="L390" s="976"/>
      <c r="M390" s="976"/>
      <c r="N390" s="976"/>
      <c r="O390" s="976"/>
      <c r="P390" s="976"/>
      <c r="Q390" s="976"/>
      <c r="R390" s="976"/>
      <c r="S390" s="976"/>
      <c r="T390" s="976"/>
      <c r="U390" s="976"/>
      <c r="V390" s="976"/>
      <c r="W390" s="976"/>
      <c r="X390" s="976"/>
      <c r="Y390" s="976"/>
      <c r="Z390" s="976"/>
    </row>
    <row r="391" spans="1:26" ht="15" x14ac:dyDescent="0.25">
      <c r="A391" s="976"/>
      <c r="B391" s="976"/>
      <c r="C391" s="976"/>
      <c r="D391" s="976"/>
      <c r="E391" s="976"/>
      <c r="F391" s="976"/>
      <c r="G391" s="976"/>
      <c r="H391" s="976"/>
      <c r="I391" s="976"/>
      <c r="J391" s="976"/>
      <c r="K391" s="976"/>
      <c r="L391" s="976"/>
      <c r="M391" s="976"/>
      <c r="N391" s="976"/>
      <c r="O391" s="976"/>
      <c r="P391" s="976"/>
      <c r="Q391" s="976"/>
      <c r="R391" s="976"/>
      <c r="S391" s="976"/>
      <c r="T391" s="976"/>
      <c r="U391" s="976"/>
      <c r="V391" s="976"/>
      <c r="W391" s="976"/>
      <c r="X391" s="976"/>
      <c r="Y391" s="976"/>
      <c r="Z391" s="976"/>
    </row>
    <row r="392" spans="1:26" ht="15" x14ac:dyDescent="0.25">
      <c r="A392" s="976"/>
      <c r="B392" s="976"/>
      <c r="C392" s="976"/>
      <c r="D392" s="976"/>
      <c r="E392" s="976"/>
      <c r="F392" s="976"/>
      <c r="G392" s="976"/>
      <c r="H392" s="976"/>
      <c r="I392" s="976"/>
      <c r="J392" s="976"/>
      <c r="K392" s="976"/>
      <c r="L392" s="976"/>
      <c r="M392" s="976"/>
      <c r="N392" s="976"/>
      <c r="O392" s="976"/>
      <c r="P392" s="976"/>
      <c r="Q392" s="976"/>
      <c r="R392" s="976"/>
      <c r="S392" s="976"/>
      <c r="T392" s="976"/>
      <c r="U392" s="976"/>
      <c r="V392" s="976"/>
      <c r="W392" s="976"/>
      <c r="X392" s="976"/>
      <c r="Y392" s="976"/>
      <c r="Z392" s="976"/>
    </row>
    <row r="393" spans="1:26" ht="15" x14ac:dyDescent="0.25">
      <c r="A393" s="976"/>
      <c r="B393" s="976"/>
      <c r="C393" s="976"/>
      <c r="D393" s="976"/>
      <c r="E393" s="976"/>
      <c r="F393" s="976"/>
      <c r="G393" s="976"/>
      <c r="H393" s="976"/>
      <c r="I393" s="976"/>
      <c r="J393" s="976"/>
      <c r="K393" s="976"/>
      <c r="L393" s="976"/>
      <c r="M393" s="976"/>
      <c r="N393" s="976"/>
      <c r="O393" s="976"/>
      <c r="P393" s="976"/>
      <c r="Q393" s="976"/>
      <c r="R393" s="976"/>
      <c r="S393" s="976"/>
      <c r="T393" s="976"/>
      <c r="U393" s="976"/>
      <c r="V393" s="976"/>
      <c r="W393" s="976"/>
      <c r="X393" s="976"/>
      <c r="Y393" s="976"/>
      <c r="Z393" s="976"/>
    </row>
    <row r="394" spans="1:26" ht="15" x14ac:dyDescent="0.25">
      <c r="A394" s="976"/>
      <c r="B394" s="976"/>
      <c r="C394" s="976"/>
      <c r="D394" s="976"/>
      <c r="E394" s="976"/>
      <c r="F394" s="976"/>
      <c r="G394" s="976"/>
      <c r="H394" s="976"/>
      <c r="I394" s="976"/>
      <c r="J394" s="976"/>
      <c r="K394" s="976"/>
      <c r="L394" s="976"/>
      <c r="M394" s="976"/>
      <c r="N394" s="976"/>
      <c r="O394" s="976"/>
      <c r="P394" s="976"/>
      <c r="Q394" s="976"/>
      <c r="R394" s="976"/>
      <c r="S394" s="976"/>
      <c r="T394" s="976"/>
      <c r="U394" s="976"/>
      <c r="V394" s="976"/>
      <c r="W394" s="976"/>
      <c r="X394" s="976"/>
      <c r="Y394" s="976"/>
      <c r="Z394" s="976"/>
    </row>
    <row r="395" spans="1:26" ht="15" x14ac:dyDescent="0.25">
      <c r="A395" s="976"/>
      <c r="B395" s="976"/>
      <c r="C395" s="976"/>
      <c r="D395" s="976"/>
      <c r="E395" s="976"/>
      <c r="F395" s="976"/>
      <c r="G395" s="976"/>
      <c r="H395" s="976"/>
      <c r="I395" s="976"/>
      <c r="J395" s="976"/>
      <c r="K395" s="976"/>
      <c r="L395" s="976"/>
      <c r="M395" s="976"/>
      <c r="N395" s="976"/>
      <c r="O395" s="976"/>
      <c r="P395" s="976"/>
      <c r="Q395" s="976"/>
      <c r="R395" s="976"/>
      <c r="S395" s="976"/>
      <c r="T395" s="976"/>
      <c r="U395" s="976"/>
      <c r="V395" s="976"/>
      <c r="W395" s="976"/>
      <c r="X395" s="976"/>
      <c r="Y395" s="976"/>
      <c r="Z395" s="976"/>
    </row>
    <row r="396" spans="1:26" ht="15" x14ac:dyDescent="0.25">
      <c r="A396" s="976"/>
      <c r="B396" s="976"/>
      <c r="C396" s="976"/>
      <c r="D396" s="976"/>
      <c r="E396" s="976"/>
      <c r="F396" s="976"/>
      <c r="G396" s="976"/>
      <c r="H396" s="976"/>
      <c r="I396" s="976"/>
      <c r="J396" s="976"/>
      <c r="K396" s="976"/>
      <c r="L396" s="976"/>
      <c r="M396" s="976"/>
      <c r="N396" s="976"/>
      <c r="O396" s="976"/>
      <c r="P396" s="976"/>
      <c r="Q396" s="976"/>
      <c r="R396" s="976"/>
      <c r="S396" s="976"/>
      <c r="T396" s="976"/>
      <c r="U396" s="976"/>
      <c r="V396" s="976"/>
      <c r="W396" s="976"/>
      <c r="X396" s="976"/>
      <c r="Y396" s="976"/>
      <c r="Z396" s="976"/>
    </row>
    <row r="397" spans="1:26" ht="15" x14ac:dyDescent="0.25">
      <c r="A397" s="976"/>
      <c r="B397" s="976"/>
      <c r="C397" s="976"/>
      <c r="D397" s="976"/>
      <c r="E397" s="976"/>
      <c r="F397" s="976"/>
      <c r="G397" s="976"/>
      <c r="H397" s="976"/>
      <c r="I397" s="976"/>
      <c r="J397" s="976"/>
      <c r="K397" s="976"/>
      <c r="L397" s="976"/>
      <c r="M397" s="976"/>
      <c r="N397" s="976"/>
      <c r="O397" s="976"/>
      <c r="P397" s="976"/>
      <c r="Q397" s="976"/>
      <c r="R397" s="976"/>
      <c r="S397" s="976"/>
      <c r="T397" s="976"/>
      <c r="U397" s="976"/>
      <c r="V397" s="976"/>
      <c r="W397" s="976"/>
      <c r="X397" s="976"/>
      <c r="Y397" s="976"/>
      <c r="Z397" s="976"/>
    </row>
    <row r="398" spans="1:26" ht="15" x14ac:dyDescent="0.25">
      <c r="A398" s="976"/>
      <c r="B398" s="976"/>
      <c r="C398" s="976"/>
      <c r="D398" s="976"/>
      <c r="E398" s="976"/>
      <c r="F398" s="976"/>
      <c r="G398" s="976"/>
      <c r="H398" s="976"/>
      <c r="I398" s="976"/>
      <c r="J398" s="976"/>
      <c r="K398" s="976"/>
      <c r="L398" s="976"/>
      <c r="M398" s="976"/>
      <c r="N398" s="976"/>
      <c r="O398" s="976"/>
      <c r="P398" s="976"/>
      <c r="Q398" s="976"/>
      <c r="R398" s="976"/>
      <c r="S398" s="976"/>
      <c r="T398" s="976"/>
      <c r="U398" s="976"/>
      <c r="V398" s="976"/>
      <c r="W398" s="976"/>
      <c r="X398" s="976"/>
      <c r="Y398" s="976"/>
      <c r="Z398" s="976"/>
    </row>
    <row r="399" spans="1:26" ht="15" x14ac:dyDescent="0.25">
      <c r="A399" s="976"/>
      <c r="B399" s="976"/>
      <c r="C399" s="976"/>
      <c r="D399" s="976"/>
      <c r="E399" s="976"/>
      <c r="F399" s="976"/>
      <c r="G399" s="976"/>
      <c r="H399" s="976"/>
      <c r="I399" s="976"/>
      <c r="J399" s="976"/>
      <c r="K399" s="976"/>
      <c r="L399" s="976"/>
      <c r="M399" s="976"/>
      <c r="N399" s="976"/>
      <c r="O399" s="976"/>
      <c r="P399" s="976"/>
      <c r="Q399" s="976"/>
      <c r="R399" s="976"/>
      <c r="S399" s="976"/>
      <c r="T399" s="976"/>
      <c r="U399" s="976"/>
      <c r="V399" s="976"/>
      <c r="W399" s="976"/>
      <c r="X399" s="976"/>
      <c r="Y399" s="976"/>
      <c r="Z399" s="976"/>
    </row>
    <row r="400" spans="1:26" ht="15" x14ac:dyDescent="0.25">
      <c r="A400" s="976"/>
      <c r="B400" s="976"/>
      <c r="C400" s="976"/>
      <c r="D400" s="976"/>
      <c r="E400" s="976"/>
      <c r="F400" s="976"/>
      <c r="G400" s="976"/>
      <c r="H400" s="976"/>
      <c r="I400" s="976"/>
      <c r="J400" s="976"/>
      <c r="K400" s="976"/>
      <c r="L400" s="976"/>
      <c r="M400" s="976"/>
      <c r="N400" s="976"/>
      <c r="O400" s="976"/>
      <c r="P400" s="976"/>
      <c r="Q400" s="976"/>
      <c r="R400" s="976"/>
      <c r="S400" s="976"/>
      <c r="T400" s="976"/>
      <c r="U400" s="976"/>
      <c r="V400" s="976"/>
      <c r="W400" s="976"/>
      <c r="X400" s="976"/>
      <c r="Y400" s="976"/>
      <c r="Z400" s="976"/>
    </row>
    <row r="401" spans="1:26" ht="15" x14ac:dyDescent="0.25">
      <c r="A401" s="976"/>
      <c r="B401" s="976"/>
      <c r="C401" s="976"/>
      <c r="D401" s="976"/>
      <c r="E401" s="976"/>
      <c r="F401" s="976"/>
      <c r="G401" s="976"/>
      <c r="H401" s="976"/>
      <c r="I401" s="976"/>
      <c r="J401" s="976"/>
      <c r="K401" s="976"/>
      <c r="L401" s="976"/>
      <c r="M401" s="976"/>
      <c r="N401" s="976"/>
      <c r="O401" s="976"/>
      <c r="P401" s="976"/>
      <c r="Q401" s="976"/>
      <c r="R401" s="976"/>
      <c r="S401" s="976"/>
      <c r="T401" s="976"/>
      <c r="U401" s="976"/>
      <c r="V401" s="976"/>
      <c r="W401" s="976"/>
      <c r="X401" s="976"/>
      <c r="Y401" s="976"/>
      <c r="Z401" s="976"/>
    </row>
    <row r="402" spans="1:26" ht="15" x14ac:dyDescent="0.25">
      <c r="A402" s="976"/>
      <c r="B402" s="976"/>
      <c r="C402" s="976"/>
      <c r="D402" s="976"/>
      <c r="E402" s="976"/>
      <c r="F402" s="976"/>
      <c r="G402" s="976"/>
      <c r="H402" s="976"/>
      <c r="I402" s="976"/>
      <c r="J402" s="976"/>
      <c r="K402" s="976"/>
      <c r="L402" s="976"/>
      <c r="M402" s="976"/>
      <c r="N402" s="976"/>
      <c r="O402" s="976"/>
      <c r="P402" s="976"/>
      <c r="Q402" s="976"/>
      <c r="R402" s="976"/>
      <c r="S402" s="976"/>
      <c r="T402" s="976"/>
      <c r="U402" s="976"/>
      <c r="V402" s="976"/>
      <c r="W402" s="976"/>
      <c r="X402" s="976"/>
      <c r="Y402" s="976"/>
      <c r="Z402" s="976"/>
    </row>
    <row r="403" spans="1:26" ht="15" x14ac:dyDescent="0.25">
      <c r="A403" s="976"/>
      <c r="B403" s="976"/>
      <c r="C403" s="976"/>
      <c r="D403" s="976"/>
      <c r="E403" s="976"/>
      <c r="F403" s="976"/>
      <c r="G403" s="976"/>
      <c r="H403" s="976"/>
      <c r="I403" s="976"/>
      <c r="J403" s="976"/>
      <c r="K403" s="976"/>
      <c r="L403" s="976"/>
      <c r="M403" s="976"/>
      <c r="N403" s="976"/>
      <c r="O403" s="976"/>
      <c r="P403" s="976"/>
      <c r="Q403" s="976"/>
      <c r="R403" s="976"/>
      <c r="S403" s="976"/>
      <c r="T403" s="976"/>
      <c r="U403" s="976"/>
      <c r="V403" s="976"/>
      <c r="W403" s="976"/>
      <c r="X403" s="976"/>
      <c r="Y403" s="976"/>
      <c r="Z403" s="976"/>
    </row>
    <row r="404" spans="1:26" ht="15" x14ac:dyDescent="0.25">
      <c r="A404" s="976"/>
      <c r="B404" s="976"/>
      <c r="C404" s="976"/>
      <c r="D404" s="976"/>
      <c r="E404" s="976"/>
      <c r="F404" s="976"/>
      <c r="G404" s="976"/>
      <c r="H404" s="976"/>
      <c r="I404" s="976"/>
      <c r="J404" s="976"/>
      <c r="K404" s="976"/>
      <c r="L404" s="976"/>
      <c r="M404" s="976"/>
      <c r="N404" s="976"/>
      <c r="O404" s="976"/>
      <c r="P404" s="976"/>
      <c r="Q404" s="976"/>
      <c r="R404" s="976"/>
      <c r="S404" s="976"/>
      <c r="T404" s="976"/>
      <c r="U404" s="976"/>
      <c r="V404" s="976"/>
      <c r="W404" s="976"/>
      <c r="X404" s="976"/>
      <c r="Y404" s="976"/>
      <c r="Z404" s="976"/>
    </row>
    <row r="405" spans="1:26" ht="15" x14ac:dyDescent="0.25">
      <c r="A405" s="976"/>
      <c r="B405" s="976"/>
      <c r="C405" s="976"/>
      <c r="D405" s="976"/>
      <c r="E405" s="976"/>
      <c r="F405" s="976"/>
      <c r="G405" s="976"/>
      <c r="H405" s="976"/>
      <c r="I405" s="976"/>
      <c r="J405" s="976"/>
      <c r="K405" s="976"/>
      <c r="L405" s="976"/>
      <c r="M405" s="976"/>
      <c r="N405" s="976"/>
      <c r="O405" s="976"/>
      <c r="P405" s="976"/>
      <c r="Q405" s="976"/>
      <c r="R405" s="976"/>
      <c r="S405" s="976"/>
      <c r="T405" s="976"/>
      <c r="U405" s="976"/>
      <c r="V405" s="976"/>
      <c r="W405" s="976"/>
      <c r="X405" s="976"/>
      <c r="Y405" s="976"/>
      <c r="Z405" s="976"/>
    </row>
    <row r="406" spans="1:26" ht="15" x14ac:dyDescent="0.25">
      <c r="A406" s="976"/>
      <c r="B406" s="976"/>
      <c r="C406" s="976"/>
      <c r="D406" s="976"/>
      <c r="E406" s="976"/>
      <c r="F406" s="976"/>
      <c r="G406" s="976"/>
      <c r="H406" s="976"/>
      <c r="I406" s="976"/>
      <c r="J406" s="976"/>
      <c r="K406" s="976"/>
      <c r="L406" s="976"/>
      <c r="M406" s="976"/>
      <c r="N406" s="976"/>
      <c r="O406" s="976"/>
      <c r="P406" s="976"/>
      <c r="Q406" s="976"/>
      <c r="R406" s="976"/>
      <c r="S406" s="976"/>
      <c r="T406" s="976"/>
      <c r="U406" s="976"/>
      <c r="V406" s="976"/>
      <c r="W406" s="976"/>
      <c r="X406" s="976"/>
      <c r="Y406" s="976"/>
      <c r="Z406" s="976"/>
    </row>
    <row r="407" spans="1:26" ht="15" x14ac:dyDescent="0.25">
      <c r="A407" s="976"/>
      <c r="B407" s="976"/>
      <c r="C407" s="976"/>
      <c r="D407" s="976"/>
      <c r="E407" s="976"/>
      <c r="F407" s="976"/>
      <c r="G407" s="976"/>
      <c r="H407" s="976"/>
      <c r="I407" s="976"/>
      <c r="J407" s="976"/>
      <c r="K407" s="976"/>
      <c r="L407" s="976"/>
      <c r="M407" s="976"/>
      <c r="N407" s="976"/>
      <c r="O407" s="976"/>
      <c r="P407" s="976"/>
      <c r="Q407" s="976"/>
      <c r="R407" s="976"/>
      <c r="S407" s="976"/>
      <c r="T407" s="976"/>
      <c r="U407" s="976"/>
      <c r="V407" s="976"/>
      <c r="W407" s="976"/>
      <c r="X407" s="976"/>
      <c r="Y407" s="976"/>
      <c r="Z407" s="976"/>
    </row>
    <row r="408" spans="1:26" ht="15" x14ac:dyDescent="0.25">
      <c r="A408" s="976"/>
      <c r="B408" s="976"/>
      <c r="C408" s="976"/>
      <c r="D408" s="976"/>
      <c r="E408" s="976"/>
      <c r="F408" s="976"/>
      <c r="G408" s="976"/>
      <c r="H408" s="976"/>
      <c r="I408" s="976"/>
      <c r="J408" s="976"/>
      <c r="K408" s="976"/>
      <c r="L408" s="976"/>
      <c r="M408" s="976"/>
      <c r="N408" s="976"/>
      <c r="O408" s="976"/>
      <c r="P408" s="976"/>
      <c r="Q408" s="976"/>
      <c r="R408" s="976"/>
      <c r="S408" s="976"/>
      <c r="T408" s="976"/>
      <c r="U408" s="976"/>
      <c r="V408" s="976"/>
      <c r="W408" s="976"/>
      <c r="X408" s="976"/>
      <c r="Y408" s="976"/>
      <c r="Z408" s="976"/>
    </row>
    <row r="409" spans="1:26" ht="15" x14ac:dyDescent="0.25">
      <c r="A409" s="976"/>
      <c r="B409" s="976"/>
      <c r="C409" s="976"/>
      <c r="D409" s="976"/>
      <c r="E409" s="976"/>
      <c r="F409" s="976"/>
      <c r="G409" s="976"/>
      <c r="H409" s="976"/>
      <c r="I409" s="976"/>
      <c r="J409" s="976"/>
      <c r="K409" s="976"/>
      <c r="L409" s="976"/>
      <c r="M409" s="976"/>
      <c r="N409" s="976"/>
      <c r="O409" s="976"/>
      <c r="P409" s="976"/>
      <c r="Q409" s="976"/>
      <c r="R409" s="976"/>
      <c r="S409" s="976"/>
      <c r="T409" s="976"/>
      <c r="U409" s="976"/>
      <c r="V409" s="976"/>
      <c r="W409" s="976"/>
      <c r="X409" s="976"/>
      <c r="Y409" s="976"/>
      <c r="Z409" s="976"/>
    </row>
    <row r="410" spans="1:26" ht="15" x14ac:dyDescent="0.25">
      <c r="A410" s="976"/>
      <c r="B410" s="976"/>
      <c r="C410" s="976"/>
      <c r="D410" s="976"/>
      <c r="E410" s="976"/>
      <c r="F410" s="976"/>
      <c r="G410" s="976"/>
      <c r="H410" s="976"/>
      <c r="I410" s="976"/>
      <c r="J410" s="976"/>
      <c r="K410" s="976"/>
      <c r="L410" s="976"/>
      <c r="M410" s="976"/>
      <c r="N410" s="976"/>
      <c r="O410" s="976"/>
      <c r="P410" s="976"/>
      <c r="Q410" s="976"/>
      <c r="R410" s="976"/>
      <c r="S410" s="976"/>
      <c r="T410" s="976"/>
      <c r="U410" s="976"/>
      <c r="V410" s="976"/>
      <c r="W410" s="976"/>
      <c r="X410" s="976"/>
      <c r="Y410" s="976"/>
      <c r="Z410" s="976"/>
    </row>
    <row r="411" spans="1:26" ht="15" x14ac:dyDescent="0.25">
      <c r="A411" s="976"/>
      <c r="B411" s="976"/>
      <c r="C411" s="976"/>
      <c r="D411" s="976"/>
      <c r="E411" s="976"/>
      <c r="F411" s="976"/>
      <c r="G411" s="976"/>
      <c r="H411" s="976"/>
      <c r="I411" s="976"/>
      <c r="J411" s="976"/>
      <c r="K411" s="976"/>
      <c r="L411" s="976"/>
      <c r="M411" s="976"/>
      <c r="N411" s="976"/>
      <c r="O411" s="976"/>
      <c r="P411" s="976"/>
      <c r="Q411" s="976"/>
      <c r="R411" s="976"/>
      <c r="S411" s="976"/>
      <c r="T411" s="976"/>
      <c r="U411" s="976"/>
      <c r="V411" s="976"/>
      <c r="W411" s="976"/>
      <c r="X411" s="976"/>
      <c r="Y411" s="976"/>
      <c r="Z411" s="976"/>
    </row>
    <row r="412" spans="1:26" ht="15" x14ac:dyDescent="0.25">
      <c r="A412" s="976"/>
      <c r="B412" s="976"/>
      <c r="C412" s="976"/>
      <c r="D412" s="976"/>
      <c r="E412" s="976"/>
      <c r="F412" s="976"/>
      <c r="G412" s="976"/>
      <c r="H412" s="976"/>
      <c r="I412" s="976"/>
      <c r="J412" s="976"/>
      <c r="K412" s="976"/>
      <c r="L412" s="976"/>
      <c r="M412" s="976"/>
      <c r="N412" s="976"/>
      <c r="O412" s="976"/>
      <c r="P412" s="976"/>
      <c r="Q412" s="976"/>
      <c r="R412" s="976"/>
      <c r="S412" s="976"/>
      <c r="T412" s="976"/>
      <c r="U412" s="976"/>
      <c r="V412" s="976"/>
      <c r="W412" s="976"/>
      <c r="X412" s="976"/>
      <c r="Y412" s="976"/>
      <c r="Z412" s="976"/>
    </row>
    <row r="413" spans="1:26" ht="15" x14ac:dyDescent="0.25">
      <c r="A413" s="976"/>
      <c r="B413" s="976"/>
      <c r="C413" s="976"/>
      <c r="D413" s="976"/>
      <c r="E413" s="976"/>
      <c r="F413" s="976"/>
      <c r="G413" s="976"/>
      <c r="H413" s="976"/>
      <c r="I413" s="976"/>
      <c r="J413" s="976"/>
      <c r="K413" s="976"/>
      <c r="L413" s="976"/>
      <c r="M413" s="976"/>
      <c r="N413" s="976"/>
      <c r="O413" s="976"/>
      <c r="P413" s="976"/>
      <c r="Q413" s="976"/>
      <c r="R413" s="976"/>
      <c r="S413" s="976"/>
      <c r="T413" s="976"/>
      <c r="U413" s="976"/>
      <c r="V413" s="976"/>
      <c r="W413" s="976"/>
      <c r="X413" s="976"/>
      <c r="Y413" s="976"/>
      <c r="Z413" s="976"/>
    </row>
    <row r="414" spans="1:26" ht="15" x14ac:dyDescent="0.25">
      <c r="A414" s="976"/>
      <c r="B414" s="976"/>
      <c r="C414" s="976"/>
      <c r="D414" s="976"/>
      <c r="E414" s="976"/>
      <c r="F414" s="976"/>
      <c r="G414" s="976"/>
      <c r="H414" s="976"/>
      <c r="I414" s="976"/>
      <c r="J414" s="976"/>
      <c r="K414" s="976"/>
      <c r="L414" s="976"/>
      <c r="M414" s="976"/>
      <c r="N414" s="976"/>
      <c r="O414" s="976"/>
      <c r="P414" s="976"/>
      <c r="Q414" s="976"/>
      <c r="R414" s="976"/>
      <c r="S414" s="976"/>
      <c r="T414" s="976"/>
      <c r="U414" s="976"/>
      <c r="V414" s="976"/>
      <c r="W414" s="976"/>
      <c r="X414" s="976"/>
      <c r="Y414" s="976"/>
      <c r="Z414" s="976"/>
    </row>
    <row r="415" spans="1:26" ht="15" x14ac:dyDescent="0.25">
      <c r="A415" s="976"/>
      <c r="B415" s="976"/>
      <c r="C415" s="976"/>
      <c r="D415" s="976"/>
      <c r="E415" s="976"/>
      <c r="F415" s="976"/>
      <c r="G415" s="976"/>
      <c r="H415" s="976"/>
      <c r="I415" s="976"/>
      <c r="J415" s="976"/>
      <c r="K415" s="976"/>
      <c r="L415" s="976"/>
      <c r="M415" s="976"/>
      <c r="N415" s="976"/>
      <c r="O415" s="976"/>
      <c r="P415" s="976"/>
      <c r="Q415" s="976"/>
      <c r="R415" s="976"/>
      <c r="S415" s="976"/>
      <c r="T415" s="976"/>
      <c r="U415" s="976"/>
      <c r="V415" s="976"/>
      <c r="W415" s="976"/>
      <c r="X415" s="976"/>
      <c r="Y415" s="976"/>
      <c r="Z415" s="976"/>
    </row>
    <row r="416" spans="1:26" ht="15" x14ac:dyDescent="0.25">
      <c r="A416" s="976"/>
      <c r="B416" s="976"/>
      <c r="C416" s="976"/>
      <c r="D416" s="976"/>
      <c r="E416" s="976"/>
      <c r="F416" s="976"/>
      <c r="G416" s="976"/>
      <c r="H416" s="976"/>
      <c r="I416" s="976"/>
      <c r="J416" s="976"/>
      <c r="K416" s="976"/>
      <c r="L416" s="976"/>
      <c r="M416" s="976"/>
      <c r="N416" s="976"/>
      <c r="O416" s="976"/>
      <c r="P416" s="976"/>
      <c r="Q416" s="976"/>
      <c r="R416" s="976"/>
      <c r="S416" s="976"/>
      <c r="T416" s="976"/>
      <c r="U416" s="976"/>
      <c r="V416" s="976"/>
      <c r="W416" s="976"/>
      <c r="X416" s="976"/>
      <c r="Y416" s="976"/>
      <c r="Z416" s="976"/>
    </row>
    <row r="417" spans="1:26" ht="15" x14ac:dyDescent="0.25">
      <c r="A417" s="976"/>
      <c r="B417" s="976"/>
      <c r="C417" s="976"/>
      <c r="D417" s="976"/>
      <c r="E417" s="976"/>
      <c r="F417" s="976"/>
      <c r="G417" s="976"/>
      <c r="H417" s="976"/>
      <c r="I417" s="976"/>
      <c r="J417" s="976"/>
      <c r="K417" s="976"/>
      <c r="L417" s="976"/>
      <c r="M417" s="976"/>
      <c r="N417" s="976"/>
      <c r="O417" s="976"/>
      <c r="P417" s="976"/>
      <c r="Q417" s="976"/>
      <c r="R417" s="976"/>
      <c r="S417" s="976"/>
      <c r="T417" s="976"/>
      <c r="U417" s="976"/>
      <c r="V417" s="976"/>
      <c r="W417" s="976"/>
      <c r="X417" s="976"/>
      <c r="Y417" s="976"/>
      <c r="Z417" s="976"/>
    </row>
    <row r="418" spans="1:26" ht="15" x14ac:dyDescent="0.25">
      <c r="A418" s="976"/>
      <c r="B418" s="976"/>
      <c r="C418" s="976"/>
      <c r="D418" s="976"/>
      <c r="E418" s="976"/>
      <c r="F418" s="976"/>
      <c r="G418" s="976"/>
      <c r="H418" s="976"/>
      <c r="I418" s="976"/>
      <c r="J418" s="976"/>
      <c r="K418" s="976"/>
      <c r="L418" s="976"/>
      <c r="M418" s="976"/>
      <c r="N418" s="976"/>
      <c r="O418" s="976"/>
      <c r="P418" s="976"/>
      <c r="Q418" s="976"/>
      <c r="R418" s="976"/>
      <c r="S418" s="976"/>
      <c r="T418" s="976"/>
      <c r="U418" s="976"/>
      <c r="V418" s="976"/>
      <c r="W418" s="976"/>
      <c r="X418" s="976"/>
      <c r="Y418" s="976"/>
      <c r="Z418" s="976"/>
    </row>
    <row r="419" spans="1:26" ht="15" x14ac:dyDescent="0.25">
      <c r="A419" s="976"/>
      <c r="B419" s="976"/>
      <c r="C419" s="976"/>
      <c r="D419" s="976"/>
      <c r="E419" s="976"/>
      <c r="F419" s="976"/>
      <c r="G419" s="976"/>
      <c r="H419" s="976"/>
      <c r="I419" s="976"/>
      <c r="J419" s="976"/>
      <c r="K419" s="976"/>
      <c r="L419" s="976"/>
      <c r="M419" s="976"/>
      <c r="N419" s="976"/>
      <c r="O419" s="976"/>
      <c r="P419" s="976"/>
      <c r="Q419" s="976"/>
      <c r="R419" s="976"/>
      <c r="S419" s="976"/>
      <c r="T419" s="976"/>
      <c r="U419" s="976"/>
      <c r="V419" s="976"/>
      <c r="W419" s="976"/>
      <c r="X419" s="976"/>
      <c r="Y419" s="976"/>
      <c r="Z419" s="976"/>
    </row>
    <row r="420" spans="1:26" ht="15" x14ac:dyDescent="0.25">
      <c r="A420" s="976"/>
      <c r="B420" s="976"/>
      <c r="C420" s="976"/>
      <c r="D420" s="976"/>
      <c r="E420" s="976"/>
      <c r="F420" s="976"/>
      <c r="G420" s="976"/>
      <c r="H420" s="976"/>
      <c r="I420" s="976"/>
      <c r="J420" s="976"/>
      <c r="K420" s="976"/>
      <c r="L420" s="976"/>
      <c r="M420" s="976"/>
      <c r="N420" s="976"/>
      <c r="O420" s="976"/>
      <c r="P420" s="976"/>
      <c r="Q420" s="976"/>
      <c r="R420" s="976"/>
      <c r="S420" s="976"/>
      <c r="T420" s="976"/>
      <c r="U420" s="976"/>
      <c r="V420" s="976"/>
      <c r="W420" s="976"/>
      <c r="X420" s="976"/>
      <c r="Y420" s="976"/>
      <c r="Z420" s="976"/>
    </row>
    <row r="421" spans="1:26" ht="15" x14ac:dyDescent="0.25">
      <c r="A421" s="976"/>
      <c r="B421" s="976"/>
      <c r="C421" s="976"/>
      <c r="D421" s="976"/>
      <c r="E421" s="976"/>
      <c r="F421" s="976"/>
      <c r="G421" s="976"/>
      <c r="H421" s="976"/>
      <c r="I421" s="976"/>
      <c r="J421" s="976"/>
      <c r="K421" s="976"/>
      <c r="L421" s="976"/>
      <c r="M421" s="976"/>
      <c r="N421" s="976"/>
      <c r="O421" s="976"/>
      <c r="P421" s="976"/>
      <c r="Q421" s="976"/>
      <c r="R421" s="976"/>
      <c r="S421" s="976"/>
      <c r="T421" s="976"/>
      <c r="U421" s="976"/>
      <c r="V421" s="976"/>
      <c r="W421" s="976"/>
      <c r="X421" s="976"/>
      <c r="Y421" s="976"/>
      <c r="Z421" s="976"/>
    </row>
    <row r="422" spans="1:26" ht="15" x14ac:dyDescent="0.25">
      <c r="A422" s="976"/>
      <c r="B422" s="976"/>
      <c r="C422" s="976"/>
      <c r="D422" s="976"/>
      <c r="E422" s="976"/>
      <c r="F422" s="976"/>
      <c r="G422" s="976"/>
      <c r="H422" s="976"/>
      <c r="I422" s="976"/>
      <c r="J422" s="976"/>
      <c r="K422" s="976"/>
      <c r="L422" s="976"/>
      <c r="M422" s="976"/>
      <c r="N422" s="976"/>
      <c r="O422" s="976"/>
      <c r="P422" s="976"/>
      <c r="Q422" s="976"/>
      <c r="R422" s="976"/>
      <c r="S422" s="976"/>
      <c r="T422" s="976"/>
      <c r="U422" s="976"/>
      <c r="V422" s="976"/>
      <c r="W422" s="976"/>
      <c r="X422" s="976"/>
      <c r="Y422" s="976"/>
      <c r="Z422" s="976"/>
    </row>
    <row r="423" spans="1:26" ht="15" x14ac:dyDescent="0.25">
      <c r="A423" s="976"/>
      <c r="B423" s="976"/>
      <c r="C423" s="976"/>
      <c r="D423" s="976"/>
      <c r="E423" s="976"/>
      <c r="F423" s="976"/>
      <c r="G423" s="976"/>
      <c r="H423" s="976"/>
      <c r="I423" s="976"/>
      <c r="J423" s="976"/>
      <c r="K423" s="976"/>
      <c r="L423" s="976"/>
      <c r="M423" s="976"/>
      <c r="N423" s="976"/>
      <c r="O423" s="976"/>
      <c r="P423" s="976"/>
      <c r="Q423" s="976"/>
      <c r="R423" s="976"/>
      <c r="S423" s="976"/>
      <c r="T423" s="976"/>
      <c r="U423" s="976"/>
      <c r="V423" s="976"/>
      <c r="W423" s="976"/>
      <c r="X423" s="976"/>
      <c r="Y423" s="976"/>
      <c r="Z423" s="976"/>
    </row>
    <row r="424" spans="1:26" ht="15" x14ac:dyDescent="0.25">
      <c r="A424" s="976"/>
      <c r="B424" s="976"/>
      <c r="C424" s="976"/>
      <c r="D424" s="976"/>
      <c r="E424" s="976"/>
      <c r="F424" s="976"/>
      <c r="G424" s="976"/>
      <c r="H424" s="976"/>
      <c r="I424" s="976"/>
      <c r="J424" s="976"/>
      <c r="K424" s="976"/>
      <c r="L424" s="976"/>
      <c r="M424" s="976"/>
      <c r="N424" s="976"/>
      <c r="O424" s="976"/>
      <c r="P424" s="976"/>
      <c r="Q424" s="976"/>
      <c r="R424" s="976"/>
      <c r="S424" s="976"/>
      <c r="T424" s="976"/>
      <c r="U424" s="976"/>
      <c r="V424" s="976"/>
      <c r="W424" s="976"/>
      <c r="X424" s="976"/>
      <c r="Y424" s="976"/>
      <c r="Z424" s="976"/>
    </row>
    <row r="425" spans="1:26" ht="15" x14ac:dyDescent="0.25">
      <c r="A425" s="976"/>
      <c r="B425" s="976"/>
      <c r="C425" s="976"/>
      <c r="D425" s="976"/>
      <c r="E425" s="976"/>
      <c r="F425" s="976"/>
      <c r="G425" s="976"/>
      <c r="H425" s="976"/>
      <c r="I425" s="976"/>
      <c r="J425" s="976"/>
      <c r="K425" s="976"/>
      <c r="L425" s="976"/>
      <c r="M425" s="976"/>
      <c r="N425" s="976"/>
      <c r="O425" s="976"/>
      <c r="P425" s="976"/>
      <c r="Q425" s="976"/>
      <c r="R425" s="976"/>
      <c r="S425" s="976"/>
      <c r="T425" s="976"/>
      <c r="U425" s="976"/>
      <c r="V425" s="976"/>
      <c r="W425" s="976"/>
      <c r="X425" s="976"/>
      <c r="Y425" s="976"/>
      <c r="Z425" s="976"/>
    </row>
    <row r="426" spans="1:26" ht="15" x14ac:dyDescent="0.25">
      <c r="A426" s="976"/>
      <c r="B426" s="976"/>
      <c r="C426" s="976"/>
      <c r="D426" s="976"/>
      <c r="E426" s="976"/>
      <c r="F426" s="976"/>
      <c r="G426" s="976"/>
      <c r="H426" s="976"/>
      <c r="I426" s="976"/>
      <c r="J426" s="976"/>
      <c r="K426" s="976"/>
      <c r="L426" s="976"/>
      <c r="M426" s="976"/>
      <c r="N426" s="976"/>
      <c r="O426" s="976"/>
      <c r="P426" s="976"/>
      <c r="Q426" s="976"/>
      <c r="R426" s="976"/>
      <c r="S426" s="976"/>
      <c r="T426" s="976"/>
      <c r="U426" s="976"/>
      <c r="V426" s="976"/>
      <c r="W426" s="976"/>
      <c r="X426" s="976"/>
      <c r="Y426" s="976"/>
      <c r="Z426" s="976"/>
    </row>
    <row r="427" spans="1:26" ht="15" x14ac:dyDescent="0.25">
      <c r="A427" s="976"/>
      <c r="B427" s="976"/>
      <c r="C427" s="976"/>
      <c r="D427" s="976"/>
      <c r="E427" s="976"/>
      <c r="F427" s="976"/>
      <c r="G427" s="976"/>
      <c r="H427" s="976"/>
      <c r="I427" s="976"/>
      <c r="J427" s="976"/>
      <c r="K427" s="976"/>
      <c r="L427" s="976"/>
      <c r="M427" s="976"/>
      <c r="N427" s="976"/>
      <c r="O427" s="976"/>
      <c r="P427" s="976"/>
      <c r="Q427" s="976"/>
      <c r="R427" s="976"/>
      <c r="S427" s="976"/>
      <c r="T427" s="976"/>
      <c r="U427" s="976"/>
      <c r="V427" s="976"/>
      <c r="W427" s="976"/>
      <c r="X427" s="976"/>
      <c r="Y427" s="976"/>
      <c r="Z427" s="976"/>
    </row>
    <row r="428" spans="1:26" ht="15" x14ac:dyDescent="0.25">
      <c r="A428" s="976"/>
      <c r="B428" s="976"/>
      <c r="C428" s="976"/>
      <c r="D428" s="976"/>
      <c r="E428" s="976"/>
      <c r="F428" s="976"/>
      <c r="G428" s="976"/>
      <c r="H428" s="976"/>
      <c r="I428" s="976"/>
      <c r="J428" s="976"/>
      <c r="K428" s="976"/>
      <c r="L428" s="976"/>
      <c r="M428" s="976"/>
      <c r="N428" s="976"/>
      <c r="O428" s="976"/>
      <c r="P428" s="976"/>
      <c r="Q428" s="976"/>
      <c r="R428" s="976"/>
      <c r="S428" s="976"/>
      <c r="T428" s="976"/>
      <c r="U428" s="976"/>
      <c r="V428" s="976"/>
      <c r="W428" s="976"/>
      <c r="X428" s="976"/>
      <c r="Y428" s="976"/>
      <c r="Z428" s="976"/>
    </row>
    <row r="429" spans="1:26" ht="15" x14ac:dyDescent="0.25">
      <c r="A429" s="976"/>
      <c r="B429" s="976"/>
      <c r="C429" s="976"/>
      <c r="D429" s="976"/>
      <c r="E429" s="976"/>
      <c r="F429" s="976"/>
      <c r="G429" s="976"/>
      <c r="H429" s="976"/>
      <c r="I429" s="976"/>
      <c r="J429" s="976"/>
      <c r="K429" s="976"/>
      <c r="L429" s="976"/>
      <c r="M429" s="976"/>
      <c r="N429" s="976"/>
      <c r="O429" s="976"/>
      <c r="P429" s="976"/>
      <c r="Q429" s="976"/>
      <c r="R429" s="976"/>
      <c r="S429" s="976"/>
      <c r="T429" s="976"/>
      <c r="U429" s="976"/>
      <c r="V429" s="976"/>
      <c r="W429" s="976"/>
      <c r="X429" s="976"/>
      <c r="Y429" s="976"/>
      <c r="Z429" s="976"/>
    </row>
    <row r="430" spans="1:26" ht="15" x14ac:dyDescent="0.25">
      <c r="A430" s="976"/>
      <c r="B430" s="976"/>
      <c r="C430" s="976"/>
      <c r="D430" s="976"/>
      <c r="E430" s="976"/>
      <c r="F430" s="976"/>
      <c r="G430" s="976"/>
      <c r="H430" s="976"/>
      <c r="I430" s="976"/>
      <c r="J430" s="976"/>
      <c r="K430" s="976"/>
      <c r="L430" s="976"/>
      <c r="M430" s="976"/>
      <c r="N430" s="976"/>
      <c r="O430" s="976"/>
      <c r="P430" s="976"/>
      <c r="Q430" s="976"/>
      <c r="R430" s="976"/>
      <c r="S430" s="976"/>
      <c r="T430" s="976"/>
      <c r="U430" s="976"/>
      <c r="V430" s="976"/>
      <c r="W430" s="976"/>
      <c r="X430" s="976"/>
      <c r="Y430" s="976"/>
      <c r="Z430" s="976"/>
    </row>
    <row r="431" spans="1:26" ht="15" x14ac:dyDescent="0.25">
      <c r="A431" s="976"/>
      <c r="B431" s="976"/>
      <c r="C431" s="976"/>
      <c r="D431" s="976"/>
      <c r="E431" s="976"/>
      <c r="F431" s="976"/>
      <c r="G431" s="976"/>
      <c r="H431" s="976"/>
      <c r="I431" s="976"/>
      <c r="J431" s="976"/>
      <c r="K431" s="976"/>
      <c r="L431" s="976"/>
      <c r="M431" s="976"/>
      <c r="N431" s="976"/>
      <c r="O431" s="976"/>
      <c r="P431" s="976"/>
      <c r="Q431" s="976"/>
      <c r="R431" s="976"/>
      <c r="S431" s="976"/>
      <c r="T431" s="976"/>
      <c r="U431" s="976"/>
      <c r="V431" s="976"/>
      <c r="W431" s="976"/>
      <c r="X431" s="976"/>
      <c r="Y431" s="976"/>
      <c r="Z431" s="976"/>
    </row>
    <row r="432" spans="1:26" ht="15" x14ac:dyDescent="0.25">
      <c r="A432" s="976"/>
      <c r="B432" s="976"/>
      <c r="C432" s="976"/>
      <c r="D432" s="976"/>
      <c r="E432" s="976"/>
      <c r="F432" s="976"/>
      <c r="G432" s="976"/>
      <c r="H432" s="976"/>
      <c r="I432" s="976"/>
      <c r="J432" s="976"/>
      <c r="K432" s="976"/>
      <c r="L432" s="976"/>
      <c r="M432" s="976"/>
      <c r="N432" s="976"/>
      <c r="O432" s="976"/>
      <c r="P432" s="976"/>
      <c r="Q432" s="976"/>
      <c r="R432" s="976"/>
      <c r="S432" s="976"/>
      <c r="T432" s="976"/>
      <c r="U432" s="976"/>
      <c r="V432" s="976"/>
      <c r="W432" s="976"/>
      <c r="X432" s="976"/>
      <c r="Y432" s="976"/>
      <c r="Z432" s="976"/>
    </row>
    <row r="433" spans="1:26" ht="15" x14ac:dyDescent="0.25">
      <c r="A433" s="976"/>
      <c r="B433" s="976"/>
      <c r="C433" s="976"/>
      <c r="D433" s="976"/>
      <c r="E433" s="976"/>
      <c r="F433" s="976"/>
      <c r="G433" s="976"/>
      <c r="H433" s="976"/>
      <c r="I433" s="976"/>
      <c r="J433" s="976"/>
      <c r="K433" s="976"/>
      <c r="L433" s="976"/>
      <c r="M433" s="976"/>
      <c r="N433" s="976"/>
      <c r="O433" s="976"/>
      <c r="P433" s="976"/>
      <c r="Q433" s="976"/>
      <c r="R433" s="976"/>
      <c r="S433" s="976"/>
      <c r="T433" s="976"/>
      <c r="U433" s="976"/>
      <c r="V433" s="976"/>
      <c r="W433" s="976"/>
      <c r="X433" s="976"/>
      <c r="Y433" s="976"/>
      <c r="Z433" s="976"/>
    </row>
    <row r="434" spans="1:26" ht="15" x14ac:dyDescent="0.25">
      <c r="A434" s="976"/>
      <c r="B434" s="976"/>
      <c r="C434" s="976"/>
      <c r="D434" s="976"/>
      <c r="E434" s="976"/>
      <c r="F434" s="976"/>
      <c r="G434" s="976"/>
      <c r="H434" s="976"/>
      <c r="I434" s="976"/>
      <c r="J434" s="976"/>
      <c r="K434" s="976"/>
      <c r="L434" s="976"/>
      <c r="M434" s="976"/>
      <c r="N434" s="976"/>
      <c r="O434" s="976"/>
      <c r="P434" s="976"/>
      <c r="Q434" s="976"/>
      <c r="R434" s="976"/>
      <c r="S434" s="976"/>
      <c r="T434" s="976"/>
      <c r="U434" s="976"/>
      <c r="V434" s="976"/>
      <c r="W434" s="976"/>
      <c r="X434" s="976"/>
      <c r="Y434" s="976"/>
      <c r="Z434" s="976"/>
    </row>
    <row r="435" spans="1:26" ht="15" x14ac:dyDescent="0.25">
      <c r="A435" s="976"/>
      <c r="B435" s="976"/>
      <c r="C435" s="976"/>
      <c r="D435" s="976"/>
      <c r="E435" s="976"/>
      <c r="F435" s="976"/>
      <c r="G435" s="976"/>
      <c r="H435" s="976"/>
      <c r="I435" s="976"/>
      <c r="J435" s="976"/>
      <c r="K435" s="976"/>
      <c r="L435" s="976"/>
      <c r="M435" s="976"/>
      <c r="N435" s="976"/>
      <c r="O435" s="976"/>
      <c r="P435" s="976"/>
      <c r="Q435" s="976"/>
      <c r="R435" s="976"/>
      <c r="S435" s="976"/>
      <c r="T435" s="976"/>
      <c r="U435" s="976"/>
      <c r="V435" s="976"/>
      <c r="W435" s="976"/>
      <c r="X435" s="976"/>
      <c r="Y435" s="976"/>
      <c r="Z435" s="976"/>
    </row>
    <row r="436" spans="1:26" ht="15" x14ac:dyDescent="0.25">
      <c r="A436" s="976"/>
      <c r="B436" s="976"/>
      <c r="C436" s="976"/>
      <c r="D436" s="976"/>
      <c r="E436" s="976"/>
      <c r="F436" s="976"/>
      <c r="G436" s="976"/>
      <c r="H436" s="976"/>
      <c r="I436" s="976"/>
      <c r="J436" s="976"/>
      <c r="K436" s="976"/>
      <c r="L436" s="976"/>
      <c r="M436" s="976"/>
      <c r="N436" s="976"/>
      <c r="O436" s="976"/>
      <c r="P436" s="976"/>
      <c r="Q436" s="976"/>
      <c r="R436" s="976"/>
      <c r="S436" s="976"/>
      <c r="T436" s="976"/>
      <c r="U436" s="976"/>
      <c r="V436" s="976"/>
      <c r="W436" s="976"/>
      <c r="X436" s="976"/>
      <c r="Y436" s="976"/>
      <c r="Z436" s="976"/>
    </row>
    <row r="437" spans="1:26" ht="15" x14ac:dyDescent="0.25">
      <c r="A437" s="976"/>
      <c r="B437" s="976"/>
      <c r="C437" s="976"/>
      <c r="D437" s="976"/>
      <c r="E437" s="976"/>
      <c r="F437" s="976"/>
      <c r="G437" s="976"/>
      <c r="H437" s="976"/>
      <c r="I437" s="976"/>
      <c r="J437" s="976"/>
      <c r="K437" s="976"/>
      <c r="L437" s="976"/>
      <c r="M437" s="976"/>
      <c r="N437" s="976"/>
      <c r="O437" s="976"/>
      <c r="P437" s="976"/>
      <c r="Q437" s="976"/>
      <c r="R437" s="976"/>
      <c r="S437" s="976"/>
      <c r="T437" s="976"/>
      <c r="U437" s="976"/>
      <c r="V437" s="976"/>
      <c r="W437" s="976"/>
      <c r="X437" s="976"/>
      <c r="Y437" s="976"/>
      <c r="Z437" s="976"/>
    </row>
    <row r="438" spans="1:26" ht="15" x14ac:dyDescent="0.25">
      <c r="A438" s="976"/>
      <c r="B438" s="976"/>
      <c r="C438" s="976"/>
      <c r="D438" s="976"/>
      <c r="E438" s="976"/>
      <c r="F438" s="976"/>
      <c r="G438" s="976"/>
      <c r="H438" s="976"/>
      <c r="I438" s="976"/>
      <c r="J438" s="976"/>
      <c r="K438" s="976"/>
      <c r="L438" s="976"/>
      <c r="M438" s="976"/>
      <c r="N438" s="976"/>
      <c r="O438" s="976"/>
      <c r="P438" s="976"/>
      <c r="Q438" s="976"/>
      <c r="R438" s="976"/>
      <c r="S438" s="976"/>
      <c r="T438" s="976"/>
      <c r="U438" s="976"/>
      <c r="V438" s="976"/>
      <c r="W438" s="976"/>
      <c r="X438" s="976"/>
      <c r="Y438" s="976"/>
      <c r="Z438" s="976"/>
    </row>
    <row r="439" spans="1:26" ht="15" x14ac:dyDescent="0.25">
      <c r="A439" s="976"/>
      <c r="B439" s="976"/>
      <c r="C439" s="976"/>
      <c r="D439" s="976"/>
      <c r="E439" s="976"/>
      <c r="F439" s="976"/>
      <c r="G439" s="976"/>
      <c r="H439" s="976"/>
      <c r="I439" s="976"/>
      <c r="J439" s="976"/>
      <c r="K439" s="976"/>
      <c r="L439" s="976"/>
      <c r="M439" s="976"/>
      <c r="N439" s="976"/>
      <c r="O439" s="976"/>
      <c r="P439" s="976"/>
      <c r="Q439" s="976"/>
      <c r="R439" s="976"/>
      <c r="S439" s="976"/>
      <c r="T439" s="976"/>
      <c r="U439" s="976"/>
      <c r="V439" s="976"/>
      <c r="W439" s="976"/>
      <c r="X439" s="976"/>
      <c r="Y439" s="976"/>
      <c r="Z439" s="976"/>
    </row>
    <row r="440" spans="1:26" ht="15" x14ac:dyDescent="0.25">
      <c r="A440" s="976"/>
      <c r="B440" s="976"/>
      <c r="C440" s="976"/>
      <c r="D440" s="976"/>
      <c r="E440" s="976"/>
      <c r="F440" s="976"/>
      <c r="G440" s="976"/>
      <c r="H440" s="976"/>
      <c r="I440" s="976"/>
      <c r="J440" s="976"/>
      <c r="K440" s="976"/>
      <c r="L440" s="976"/>
      <c r="M440" s="976"/>
      <c r="N440" s="976"/>
      <c r="O440" s="976"/>
      <c r="P440" s="976"/>
      <c r="Q440" s="976"/>
      <c r="R440" s="976"/>
      <c r="S440" s="976"/>
      <c r="T440" s="976"/>
      <c r="U440" s="976"/>
      <c r="V440" s="976"/>
      <c r="W440" s="976"/>
      <c r="X440" s="976"/>
      <c r="Y440" s="976"/>
      <c r="Z440" s="976"/>
    </row>
    <row r="441" spans="1:26" ht="15" x14ac:dyDescent="0.25">
      <c r="A441" s="976"/>
      <c r="B441" s="976"/>
      <c r="C441" s="976"/>
      <c r="D441" s="976"/>
      <c r="E441" s="976"/>
      <c r="F441" s="976"/>
      <c r="G441" s="976"/>
      <c r="H441" s="976"/>
      <c r="I441" s="976"/>
      <c r="J441" s="976"/>
      <c r="K441" s="976"/>
      <c r="L441" s="976"/>
      <c r="M441" s="976"/>
      <c r="N441" s="976"/>
      <c r="O441" s="976"/>
      <c r="P441" s="976"/>
      <c r="Q441" s="976"/>
      <c r="R441" s="976"/>
      <c r="S441" s="976"/>
      <c r="T441" s="976"/>
      <c r="U441" s="976"/>
      <c r="V441" s="976"/>
      <c r="W441" s="976"/>
      <c r="X441" s="976"/>
      <c r="Y441" s="976"/>
      <c r="Z441" s="976"/>
    </row>
    <row r="442" spans="1:26" ht="15" x14ac:dyDescent="0.25">
      <c r="A442" s="976"/>
      <c r="B442" s="976"/>
      <c r="C442" s="976"/>
      <c r="D442" s="976"/>
      <c r="E442" s="976"/>
      <c r="F442" s="976"/>
      <c r="G442" s="976"/>
      <c r="H442" s="976"/>
      <c r="I442" s="976"/>
      <c r="J442" s="976"/>
      <c r="K442" s="976"/>
      <c r="L442" s="976"/>
      <c r="M442" s="976"/>
      <c r="N442" s="976"/>
      <c r="O442" s="976"/>
      <c r="P442" s="976"/>
      <c r="Q442" s="976"/>
      <c r="R442" s="976"/>
      <c r="S442" s="976"/>
      <c r="T442" s="976"/>
      <c r="U442" s="976"/>
      <c r="V442" s="976"/>
      <c r="W442" s="976"/>
      <c r="X442" s="976"/>
      <c r="Y442" s="976"/>
      <c r="Z442" s="976"/>
    </row>
    <row r="443" spans="1:26" ht="15" x14ac:dyDescent="0.25">
      <c r="A443" s="976"/>
      <c r="B443" s="976"/>
      <c r="C443" s="976"/>
      <c r="D443" s="976"/>
      <c r="E443" s="976"/>
      <c r="F443" s="976"/>
      <c r="G443" s="976"/>
      <c r="H443" s="976"/>
      <c r="I443" s="976"/>
      <c r="J443" s="976"/>
      <c r="K443" s="976"/>
      <c r="L443" s="976"/>
      <c r="M443" s="976"/>
      <c r="N443" s="976"/>
      <c r="O443" s="976"/>
      <c r="P443" s="976"/>
      <c r="Q443" s="976"/>
      <c r="R443" s="976"/>
      <c r="S443" s="976"/>
      <c r="T443" s="976"/>
      <c r="U443" s="976"/>
      <c r="V443" s="976"/>
      <c r="W443" s="976"/>
      <c r="X443" s="976"/>
      <c r="Y443" s="976"/>
      <c r="Z443" s="976"/>
    </row>
    <row r="444" spans="1:26" ht="15" x14ac:dyDescent="0.25">
      <c r="A444" s="976"/>
      <c r="B444" s="976"/>
      <c r="C444" s="976"/>
      <c r="D444" s="976"/>
      <c r="E444" s="976"/>
      <c r="F444" s="976"/>
      <c r="G444" s="976"/>
      <c r="H444" s="976"/>
      <c r="I444" s="976"/>
      <c r="J444" s="976"/>
      <c r="K444" s="976"/>
      <c r="L444" s="976"/>
      <c r="M444" s="976"/>
      <c r="N444" s="976"/>
      <c r="O444" s="976"/>
      <c r="P444" s="976"/>
      <c r="Q444" s="976"/>
      <c r="R444" s="976"/>
      <c r="S444" s="976"/>
      <c r="T444" s="976"/>
      <c r="U444" s="976"/>
      <c r="V444" s="976"/>
      <c r="W444" s="976"/>
      <c r="X444" s="976"/>
      <c r="Y444" s="976"/>
      <c r="Z444" s="976"/>
    </row>
    <row r="445" spans="1:26" ht="15" x14ac:dyDescent="0.25">
      <c r="A445" s="976"/>
      <c r="B445" s="976"/>
      <c r="C445" s="976"/>
      <c r="D445" s="976"/>
      <c r="E445" s="976"/>
      <c r="F445" s="976"/>
      <c r="G445" s="976"/>
      <c r="H445" s="976"/>
      <c r="I445" s="976"/>
      <c r="J445" s="976"/>
      <c r="K445" s="976"/>
      <c r="L445" s="976"/>
      <c r="M445" s="976"/>
      <c r="N445" s="976"/>
      <c r="O445" s="976"/>
      <c r="P445" s="976"/>
      <c r="Q445" s="976"/>
      <c r="R445" s="976"/>
      <c r="S445" s="976"/>
      <c r="T445" s="976"/>
      <c r="U445" s="976"/>
      <c r="V445" s="976"/>
      <c r="W445" s="976"/>
      <c r="X445" s="976"/>
      <c r="Y445" s="976"/>
      <c r="Z445" s="976"/>
    </row>
    <row r="446" spans="1:26" ht="15" x14ac:dyDescent="0.25">
      <c r="A446" s="976"/>
      <c r="B446" s="976"/>
      <c r="C446" s="976"/>
      <c r="D446" s="976"/>
      <c r="E446" s="976"/>
      <c r="F446" s="976"/>
      <c r="G446" s="976"/>
      <c r="H446" s="976"/>
      <c r="I446" s="976"/>
      <c r="J446" s="976"/>
      <c r="K446" s="976"/>
      <c r="L446" s="976"/>
      <c r="M446" s="976"/>
      <c r="N446" s="976"/>
      <c r="O446" s="976"/>
      <c r="P446" s="976"/>
      <c r="Q446" s="976"/>
      <c r="R446" s="976"/>
      <c r="S446" s="976"/>
      <c r="T446" s="976"/>
      <c r="U446" s="976"/>
      <c r="V446" s="976"/>
      <c r="W446" s="976"/>
      <c r="X446" s="976"/>
      <c r="Y446" s="976"/>
      <c r="Z446" s="976"/>
    </row>
    <row r="447" spans="1:26" ht="15" x14ac:dyDescent="0.25">
      <c r="A447" s="976"/>
      <c r="B447" s="976"/>
      <c r="C447" s="976"/>
      <c r="D447" s="976"/>
      <c r="E447" s="976"/>
      <c r="F447" s="976"/>
      <c r="G447" s="976"/>
      <c r="H447" s="976"/>
      <c r="I447" s="976"/>
      <c r="J447" s="976"/>
      <c r="K447" s="976"/>
      <c r="L447" s="976"/>
      <c r="M447" s="976"/>
      <c r="N447" s="976"/>
      <c r="O447" s="976"/>
      <c r="P447" s="976"/>
      <c r="Q447" s="976"/>
      <c r="R447" s="976"/>
      <c r="S447" s="976"/>
      <c r="T447" s="976"/>
      <c r="U447" s="976"/>
      <c r="V447" s="976"/>
      <c r="W447" s="976"/>
      <c r="X447" s="976"/>
      <c r="Y447" s="976"/>
      <c r="Z447" s="976"/>
    </row>
    <row r="448" spans="1:26" ht="15" x14ac:dyDescent="0.25">
      <c r="A448" s="976"/>
      <c r="B448" s="976"/>
      <c r="C448" s="976"/>
      <c r="D448" s="976"/>
      <c r="E448" s="976"/>
      <c r="F448" s="976"/>
      <c r="G448" s="976"/>
      <c r="H448" s="976"/>
      <c r="I448" s="976"/>
      <c r="J448" s="976"/>
      <c r="K448" s="976"/>
      <c r="L448" s="976"/>
      <c r="M448" s="976"/>
      <c r="N448" s="976"/>
      <c r="O448" s="976"/>
      <c r="P448" s="976"/>
      <c r="Q448" s="976"/>
      <c r="R448" s="976"/>
      <c r="S448" s="976"/>
      <c r="T448" s="976"/>
      <c r="U448" s="976"/>
      <c r="V448" s="976"/>
      <c r="W448" s="976"/>
      <c r="X448" s="976"/>
      <c r="Y448" s="976"/>
      <c r="Z448" s="976"/>
    </row>
    <row r="449" spans="1:26" ht="15" x14ac:dyDescent="0.25">
      <c r="A449" s="976"/>
      <c r="B449" s="976"/>
      <c r="C449" s="976"/>
      <c r="D449" s="976"/>
      <c r="E449" s="976"/>
      <c r="F449" s="976"/>
      <c r="G449" s="976"/>
      <c r="H449" s="976"/>
      <c r="I449" s="976"/>
      <c r="J449" s="976"/>
      <c r="K449" s="976"/>
      <c r="L449" s="976"/>
      <c r="M449" s="976"/>
      <c r="N449" s="976"/>
      <c r="O449" s="976"/>
      <c r="P449" s="976"/>
      <c r="Q449" s="976"/>
      <c r="R449" s="976"/>
      <c r="S449" s="976"/>
      <c r="T449" s="976"/>
      <c r="U449" s="976"/>
      <c r="V449" s="976"/>
      <c r="W449" s="976"/>
      <c r="X449" s="976"/>
      <c r="Y449" s="976"/>
      <c r="Z449" s="976"/>
    </row>
    <row r="450" spans="1:26" ht="15" x14ac:dyDescent="0.25">
      <c r="A450" s="976"/>
      <c r="B450" s="976"/>
      <c r="C450" s="976"/>
      <c r="D450" s="976"/>
      <c r="E450" s="976"/>
      <c r="F450" s="976"/>
      <c r="G450" s="976"/>
      <c r="H450" s="976"/>
      <c r="I450" s="976"/>
      <c r="J450" s="976"/>
      <c r="K450" s="976"/>
      <c r="L450" s="976"/>
      <c r="M450" s="976"/>
      <c r="N450" s="976"/>
      <c r="O450" s="976"/>
      <c r="P450" s="976"/>
      <c r="Q450" s="976"/>
      <c r="R450" s="976"/>
      <c r="S450" s="976"/>
      <c r="T450" s="976"/>
      <c r="U450" s="976"/>
      <c r="V450" s="976"/>
      <c r="W450" s="976"/>
      <c r="X450" s="976"/>
      <c r="Y450" s="976"/>
      <c r="Z450" s="976"/>
    </row>
    <row r="451" spans="1:26" ht="15" x14ac:dyDescent="0.25">
      <c r="A451" s="976"/>
      <c r="B451" s="976"/>
      <c r="C451" s="976"/>
      <c r="D451" s="976"/>
      <c r="E451" s="976"/>
      <c r="F451" s="976"/>
      <c r="G451" s="976"/>
      <c r="H451" s="976"/>
      <c r="I451" s="976"/>
      <c r="J451" s="976"/>
      <c r="K451" s="976"/>
      <c r="L451" s="976"/>
      <c r="M451" s="976"/>
      <c r="N451" s="976"/>
      <c r="O451" s="976"/>
      <c r="P451" s="976"/>
      <c r="Q451" s="976"/>
      <c r="R451" s="976"/>
      <c r="S451" s="976"/>
      <c r="T451" s="976"/>
      <c r="U451" s="976"/>
      <c r="V451" s="976"/>
      <c r="W451" s="976"/>
      <c r="X451" s="976"/>
      <c r="Y451" s="976"/>
      <c r="Z451" s="976"/>
    </row>
    <row r="452" spans="1:26" ht="15" x14ac:dyDescent="0.25">
      <c r="A452" s="976"/>
      <c r="B452" s="976"/>
      <c r="C452" s="976"/>
      <c r="D452" s="976"/>
      <c r="E452" s="976"/>
      <c r="F452" s="976"/>
      <c r="G452" s="976"/>
      <c r="H452" s="976"/>
      <c r="I452" s="976"/>
      <c r="J452" s="976"/>
      <c r="K452" s="976"/>
      <c r="L452" s="976"/>
      <c r="M452" s="976"/>
      <c r="N452" s="976"/>
      <c r="O452" s="976"/>
      <c r="P452" s="976"/>
      <c r="Q452" s="976"/>
      <c r="R452" s="976"/>
      <c r="S452" s="976"/>
      <c r="T452" s="976"/>
      <c r="U452" s="976"/>
      <c r="V452" s="976"/>
      <c r="W452" s="976"/>
      <c r="X452" s="976"/>
      <c r="Y452" s="976"/>
      <c r="Z452" s="976"/>
    </row>
    <row r="453" spans="1:26" ht="15" x14ac:dyDescent="0.25">
      <c r="A453" s="976"/>
      <c r="B453" s="976"/>
      <c r="C453" s="976"/>
      <c r="D453" s="976"/>
      <c r="E453" s="976"/>
      <c r="F453" s="976"/>
      <c r="G453" s="976"/>
      <c r="H453" s="976"/>
      <c r="I453" s="976"/>
      <c r="J453" s="976"/>
      <c r="K453" s="976"/>
      <c r="L453" s="976"/>
      <c r="M453" s="976"/>
      <c r="N453" s="976"/>
      <c r="O453" s="976"/>
      <c r="P453" s="976"/>
      <c r="Q453" s="976"/>
      <c r="R453" s="976"/>
      <c r="S453" s="976"/>
      <c r="T453" s="976"/>
      <c r="U453" s="976"/>
      <c r="V453" s="976"/>
      <c r="W453" s="976"/>
      <c r="X453" s="976"/>
      <c r="Y453" s="976"/>
      <c r="Z453" s="976"/>
    </row>
    <row r="454" spans="1:26" ht="15" x14ac:dyDescent="0.25">
      <c r="A454" s="976"/>
      <c r="B454" s="976"/>
      <c r="C454" s="976"/>
      <c r="D454" s="976"/>
      <c r="E454" s="976"/>
      <c r="F454" s="976"/>
      <c r="G454" s="976"/>
      <c r="H454" s="976"/>
      <c r="I454" s="976"/>
      <c r="J454" s="976"/>
      <c r="K454" s="976"/>
      <c r="L454" s="976"/>
      <c r="M454" s="976"/>
      <c r="N454" s="976"/>
      <c r="O454" s="976"/>
      <c r="P454" s="976"/>
      <c r="Q454" s="976"/>
      <c r="R454" s="976"/>
      <c r="S454" s="976"/>
      <c r="T454" s="976"/>
      <c r="U454" s="976"/>
      <c r="V454" s="976"/>
      <c r="W454" s="976"/>
      <c r="X454" s="976"/>
      <c r="Y454" s="976"/>
      <c r="Z454" s="976"/>
    </row>
    <row r="455" spans="1:26" ht="15" x14ac:dyDescent="0.25">
      <c r="A455" s="976"/>
      <c r="B455" s="976"/>
      <c r="C455" s="976"/>
      <c r="D455" s="976"/>
      <c r="E455" s="976"/>
      <c r="F455" s="976"/>
      <c r="G455" s="976"/>
      <c r="H455" s="976"/>
      <c r="I455" s="976"/>
      <c r="J455" s="976"/>
      <c r="K455" s="976"/>
      <c r="L455" s="976"/>
      <c r="M455" s="976"/>
      <c r="N455" s="976"/>
      <c r="O455" s="976"/>
      <c r="P455" s="976"/>
      <c r="Q455" s="976"/>
      <c r="R455" s="976"/>
      <c r="S455" s="976"/>
      <c r="T455" s="976"/>
      <c r="U455" s="976"/>
      <c r="V455" s="976"/>
      <c r="W455" s="976"/>
      <c r="X455" s="976"/>
      <c r="Y455" s="976"/>
      <c r="Z455" s="976"/>
    </row>
    <row r="456" spans="1:26" ht="15" x14ac:dyDescent="0.25">
      <c r="A456" s="976"/>
      <c r="B456" s="976"/>
      <c r="C456" s="976"/>
      <c r="D456" s="976"/>
      <c r="E456" s="976"/>
      <c r="F456" s="976"/>
      <c r="G456" s="976"/>
      <c r="H456" s="976"/>
      <c r="I456" s="976"/>
      <c r="J456" s="976"/>
      <c r="K456" s="976"/>
      <c r="L456" s="976"/>
      <c r="M456" s="976"/>
      <c r="N456" s="976"/>
      <c r="O456" s="976"/>
      <c r="P456" s="976"/>
      <c r="Q456" s="976"/>
      <c r="R456" s="976"/>
      <c r="S456" s="976"/>
      <c r="T456" s="976"/>
      <c r="U456" s="976"/>
      <c r="V456" s="976"/>
      <c r="W456" s="976"/>
      <c r="X456" s="976"/>
      <c r="Y456" s="976"/>
      <c r="Z456" s="976"/>
    </row>
    <row r="457" spans="1:26" ht="15" x14ac:dyDescent="0.25">
      <c r="A457" s="976"/>
      <c r="B457" s="976"/>
      <c r="C457" s="976"/>
      <c r="D457" s="976"/>
      <c r="E457" s="976"/>
      <c r="F457" s="976"/>
      <c r="G457" s="976"/>
      <c r="H457" s="976"/>
      <c r="I457" s="976"/>
      <c r="J457" s="976"/>
      <c r="K457" s="976"/>
      <c r="L457" s="976"/>
      <c r="M457" s="976"/>
      <c r="N457" s="976"/>
      <c r="O457" s="976"/>
      <c r="P457" s="976"/>
      <c r="Q457" s="976"/>
      <c r="R457" s="976"/>
      <c r="S457" s="976"/>
      <c r="T457" s="976"/>
      <c r="U457" s="976"/>
      <c r="V457" s="976"/>
      <c r="W457" s="976"/>
      <c r="X457" s="976"/>
      <c r="Y457" s="976"/>
      <c r="Z457" s="976"/>
    </row>
    <row r="458" spans="1:26" ht="15" x14ac:dyDescent="0.25">
      <c r="A458" s="976"/>
      <c r="B458" s="976"/>
      <c r="C458" s="976"/>
      <c r="D458" s="976"/>
      <c r="E458" s="976"/>
      <c r="F458" s="976"/>
      <c r="G458" s="976"/>
      <c r="H458" s="976"/>
      <c r="I458" s="976"/>
      <c r="J458" s="976"/>
      <c r="K458" s="976"/>
      <c r="L458" s="976"/>
      <c r="M458" s="976"/>
      <c r="N458" s="976"/>
      <c r="O458" s="976"/>
      <c r="P458" s="976"/>
      <c r="Q458" s="976"/>
      <c r="R458" s="976"/>
      <c r="S458" s="976"/>
      <c r="T458" s="976"/>
      <c r="U458" s="976"/>
      <c r="V458" s="976"/>
      <c r="W458" s="976"/>
      <c r="X458" s="976"/>
      <c r="Y458" s="976"/>
      <c r="Z458" s="976"/>
    </row>
    <row r="459" spans="1:26" ht="15" x14ac:dyDescent="0.25">
      <c r="A459" s="976"/>
      <c r="B459" s="976"/>
      <c r="C459" s="976"/>
      <c r="D459" s="976"/>
      <c r="E459" s="976"/>
      <c r="F459" s="976"/>
      <c r="G459" s="976"/>
      <c r="H459" s="976"/>
      <c r="I459" s="976"/>
      <c r="J459" s="976"/>
      <c r="K459" s="976"/>
      <c r="L459" s="976"/>
      <c r="M459" s="976"/>
      <c r="N459" s="976"/>
      <c r="O459" s="976"/>
      <c r="P459" s="976"/>
      <c r="Q459" s="976"/>
      <c r="R459" s="976"/>
      <c r="S459" s="976"/>
      <c r="T459" s="976"/>
      <c r="U459" s="976"/>
      <c r="V459" s="976"/>
      <c r="W459" s="976"/>
      <c r="X459" s="976"/>
      <c r="Y459" s="976"/>
      <c r="Z459" s="976"/>
    </row>
    <row r="460" spans="1:26" ht="15" x14ac:dyDescent="0.25">
      <c r="A460" s="976"/>
      <c r="B460" s="976"/>
      <c r="C460" s="976"/>
      <c r="D460" s="976"/>
      <c r="E460" s="976"/>
      <c r="F460" s="976"/>
      <c r="G460" s="976"/>
      <c r="H460" s="976"/>
      <c r="I460" s="976"/>
      <c r="J460" s="976"/>
      <c r="K460" s="976"/>
      <c r="L460" s="976"/>
      <c r="M460" s="976"/>
      <c r="N460" s="976"/>
      <c r="O460" s="976"/>
      <c r="P460" s="976"/>
      <c r="Q460" s="976"/>
      <c r="R460" s="976"/>
      <c r="S460" s="976"/>
      <c r="T460" s="976"/>
      <c r="U460" s="976"/>
      <c r="V460" s="976"/>
      <c r="W460" s="976"/>
      <c r="X460" s="976"/>
      <c r="Y460" s="976"/>
      <c r="Z460" s="976"/>
    </row>
    <row r="461" spans="1:26" ht="15" x14ac:dyDescent="0.25">
      <c r="A461" s="976"/>
      <c r="B461" s="976"/>
      <c r="C461" s="976"/>
      <c r="D461" s="976"/>
      <c r="E461" s="976"/>
      <c r="F461" s="976"/>
      <c r="G461" s="976"/>
      <c r="H461" s="976"/>
      <c r="I461" s="976"/>
      <c r="J461" s="976"/>
      <c r="K461" s="976"/>
      <c r="L461" s="976"/>
      <c r="M461" s="976"/>
      <c r="N461" s="976"/>
      <c r="O461" s="976"/>
      <c r="P461" s="976"/>
      <c r="Q461" s="976"/>
      <c r="R461" s="976"/>
      <c r="S461" s="976"/>
      <c r="T461" s="976"/>
      <c r="U461" s="976"/>
      <c r="V461" s="976"/>
      <c r="W461" s="976"/>
      <c r="X461" s="976"/>
      <c r="Y461" s="976"/>
      <c r="Z461" s="976"/>
    </row>
    <row r="462" spans="1:26" ht="15" x14ac:dyDescent="0.25">
      <c r="A462" s="976"/>
      <c r="B462" s="976"/>
      <c r="C462" s="976"/>
      <c r="D462" s="976"/>
      <c r="E462" s="976"/>
      <c r="F462" s="976"/>
      <c r="G462" s="976"/>
      <c r="H462" s="976"/>
      <c r="I462" s="976"/>
      <c r="J462" s="976"/>
      <c r="K462" s="976"/>
      <c r="L462" s="976"/>
      <c r="M462" s="976"/>
      <c r="N462" s="976"/>
      <c r="O462" s="976"/>
      <c r="P462" s="976"/>
      <c r="Q462" s="976"/>
      <c r="R462" s="976"/>
      <c r="S462" s="976"/>
      <c r="T462" s="976"/>
      <c r="U462" s="976"/>
      <c r="V462" s="976"/>
      <c r="W462" s="976"/>
      <c r="X462" s="976"/>
      <c r="Y462" s="976"/>
      <c r="Z462" s="976"/>
    </row>
    <row r="463" spans="1:26" ht="15" x14ac:dyDescent="0.25">
      <c r="A463" s="976"/>
      <c r="B463" s="976"/>
      <c r="C463" s="976"/>
      <c r="D463" s="976"/>
      <c r="E463" s="976"/>
      <c r="F463" s="976"/>
      <c r="G463" s="976"/>
      <c r="H463" s="976"/>
      <c r="I463" s="976"/>
      <c r="J463" s="976"/>
      <c r="K463" s="976"/>
      <c r="L463" s="976"/>
      <c r="M463" s="976"/>
      <c r="N463" s="976"/>
      <c r="O463" s="976"/>
      <c r="P463" s="976"/>
      <c r="Q463" s="976"/>
      <c r="R463" s="976"/>
      <c r="S463" s="976"/>
      <c r="T463" s="976"/>
      <c r="U463" s="976"/>
      <c r="V463" s="976"/>
      <c r="W463" s="976"/>
      <c r="X463" s="976"/>
      <c r="Y463" s="976"/>
      <c r="Z463" s="976"/>
    </row>
    <row r="464" spans="1:26" ht="15" x14ac:dyDescent="0.25">
      <c r="A464" s="976"/>
      <c r="B464" s="976"/>
      <c r="C464" s="976"/>
      <c r="D464" s="976"/>
      <c r="E464" s="976"/>
      <c r="F464" s="976"/>
      <c r="G464" s="976"/>
      <c r="H464" s="976"/>
      <c r="I464" s="976"/>
      <c r="J464" s="976"/>
      <c r="K464" s="976"/>
      <c r="L464" s="976"/>
      <c r="M464" s="976"/>
      <c r="N464" s="976"/>
      <c r="O464" s="976"/>
      <c r="P464" s="976"/>
      <c r="Q464" s="976"/>
      <c r="R464" s="976"/>
      <c r="S464" s="976"/>
      <c r="T464" s="976"/>
      <c r="U464" s="976"/>
      <c r="V464" s="976"/>
      <c r="W464" s="976"/>
      <c r="X464" s="976"/>
      <c r="Y464" s="976"/>
      <c r="Z464" s="976"/>
    </row>
    <row r="465" spans="1:26" ht="15" x14ac:dyDescent="0.25">
      <c r="A465" s="976"/>
      <c r="B465" s="976"/>
      <c r="C465" s="976"/>
      <c r="D465" s="976"/>
      <c r="E465" s="976"/>
      <c r="F465" s="976"/>
      <c r="G465" s="976"/>
      <c r="H465" s="976"/>
      <c r="I465" s="976"/>
      <c r="J465" s="976"/>
      <c r="K465" s="976"/>
      <c r="L465" s="976"/>
      <c r="M465" s="976"/>
      <c r="N465" s="976"/>
      <c r="O465" s="976"/>
      <c r="P465" s="976"/>
      <c r="Q465" s="976"/>
      <c r="R465" s="976"/>
      <c r="S465" s="976"/>
      <c r="T465" s="976"/>
      <c r="U465" s="976"/>
      <c r="V465" s="976"/>
      <c r="W465" s="976"/>
      <c r="X465" s="976"/>
      <c r="Y465" s="976"/>
      <c r="Z465" s="976"/>
    </row>
    <row r="466" spans="1:26" ht="15" x14ac:dyDescent="0.25">
      <c r="A466" s="976"/>
      <c r="B466" s="976"/>
      <c r="C466" s="976"/>
      <c r="D466" s="976"/>
      <c r="E466" s="976"/>
      <c r="F466" s="976"/>
      <c r="G466" s="976"/>
      <c r="H466" s="976"/>
      <c r="I466" s="976"/>
      <c r="J466" s="976"/>
      <c r="K466" s="976"/>
      <c r="L466" s="976"/>
      <c r="M466" s="976"/>
      <c r="N466" s="976"/>
      <c r="O466" s="976"/>
      <c r="P466" s="976"/>
      <c r="Q466" s="976"/>
      <c r="R466" s="976"/>
      <c r="S466" s="976"/>
      <c r="T466" s="976"/>
      <c r="U466" s="976"/>
      <c r="V466" s="976"/>
      <c r="W466" s="976"/>
      <c r="X466" s="976"/>
      <c r="Y466" s="976"/>
      <c r="Z466" s="976"/>
    </row>
    <row r="467" spans="1:26" ht="15" x14ac:dyDescent="0.25">
      <c r="A467" s="976"/>
      <c r="B467" s="976"/>
      <c r="C467" s="976"/>
      <c r="D467" s="976"/>
      <c r="E467" s="976"/>
      <c r="F467" s="976"/>
      <c r="G467" s="976"/>
      <c r="H467" s="976"/>
      <c r="I467" s="976"/>
      <c r="J467" s="976"/>
      <c r="K467" s="976"/>
      <c r="L467" s="976"/>
      <c r="M467" s="976"/>
      <c r="N467" s="976"/>
      <c r="O467" s="976"/>
      <c r="P467" s="976"/>
      <c r="Q467" s="976"/>
      <c r="R467" s="976"/>
      <c r="S467" s="976"/>
      <c r="T467" s="976"/>
      <c r="U467" s="976"/>
      <c r="V467" s="976"/>
      <c r="W467" s="976"/>
      <c r="X467" s="976"/>
      <c r="Y467" s="976"/>
      <c r="Z467" s="976"/>
    </row>
    <row r="468" spans="1:26" ht="15" x14ac:dyDescent="0.25">
      <c r="A468" s="976"/>
      <c r="B468" s="976"/>
      <c r="C468" s="976"/>
      <c r="D468" s="976"/>
      <c r="E468" s="976"/>
      <c r="F468" s="976"/>
      <c r="G468" s="976"/>
      <c r="H468" s="976"/>
      <c r="I468" s="976"/>
      <c r="J468" s="976"/>
      <c r="K468" s="976"/>
      <c r="L468" s="976"/>
      <c r="M468" s="976"/>
      <c r="N468" s="976"/>
      <c r="O468" s="976"/>
      <c r="P468" s="976"/>
      <c r="Q468" s="976"/>
      <c r="R468" s="976"/>
      <c r="S468" s="976"/>
      <c r="T468" s="976"/>
      <c r="U468" s="976"/>
      <c r="V468" s="976"/>
      <c r="W468" s="976"/>
      <c r="X468" s="976"/>
      <c r="Y468" s="976"/>
      <c r="Z468" s="976"/>
    </row>
    <row r="469" spans="1:26" ht="15" x14ac:dyDescent="0.25">
      <c r="A469" s="976"/>
      <c r="B469" s="976"/>
      <c r="C469" s="976"/>
      <c r="D469" s="976"/>
      <c r="E469" s="976"/>
      <c r="F469" s="976"/>
      <c r="G469" s="976"/>
      <c r="H469" s="976"/>
      <c r="I469" s="976"/>
      <c r="J469" s="976"/>
      <c r="K469" s="976"/>
      <c r="L469" s="976"/>
      <c r="M469" s="976"/>
      <c r="N469" s="976"/>
      <c r="O469" s="976"/>
      <c r="P469" s="976"/>
      <c r="Q469" s="976"/>
      <c r="R469" s="976"/>
      <c r="S469" s="976"/>
      <c r="T469" s="976"/>
      <c r="U469" s="976"/>
      <c r="V469" s="976"/>
      <c r="W469" s="976"/>
      <c r="X469" s="976"/>
      <c r="Y469" s="976"/>
      <c r="Z469" s="976"/>
    </row>
    <row r="470" spans="1:26" ht="15" x14ac:dyDescent="0.25">
      <c r="A470" s="976"/>
      <c r="B470" s="976"/>
      <c r="C470" s="976"/>
      <c r="D470" s="976"/>
      <c r="E470" s="976"/>
      <c r="F470" s="976"/>
      <c r="G470" s="976"/>
      <c r="H470" s="976"/>
      <c r="I470" s="976"/>
      <c r="J470" s="976"/>
      <c r="K470" s="976"/>
      <c r="L470" s="976"/>
      <c r="M470" s="976"/>
      <c r="N470" s="976"/>
      <c r="O470" s="976"/>
      <c r="P470" s="976"/>
      <c r="Q470" s="976"/>
      <c r="R470" s="976"/>
      <c r="S470" s="976"/>
      <c r="T470" s="976"/>
      <c r="U470" s="976"/>
      <c r="V470" s="976"/>
      <c r="W470" s="976"/>
      <c r="X470" s="976"/>
      <c r="Y470" s="976"/>
      <c r="Z470" s="976"/>
    </row>
    <row r="471" spans="1:26" ht="15" x14ac:dyDescent="0.25">
      <c r="A471" s="976"/>
      <c r="B471" s="976"/>
      <c r="C471" s="976"/>
      <c r="D471" s="976"/>
      <c r="E471" s="976"/>
      <c r="F471" s="976"/>
      <c r="G471" s="976"/>
      <c r="H471" s="976"/>
      <c r="I471" s="976"/>
      <c r="J471" s="976"/>
      <c r="K471" s="976"/>
      <c r="L471" s="976"/>
      <c r="M471" s="976"/>
      <c r="N471" s="976"/>
      <c r="O471" s="976"/>
      <c r="P471" s="976"/>
      <c r="Q471" s="976"/>
      <c r="R471" s="976"/>
      <c r="S471" s="976"/>
      <c r="T471" s="976"/>
      <c r="U471" s="976"/>
      <c r="V471" s="976"/>
      <c r="W471" s="976"/>
      <c r="X471" s="976"/>
      <c r="Y471" s="976"/>
      <c r="Z471" s="976"/>
    </row>
    <row r="472" spans="1:26" ht="15" x14ac:dyDescent="0.25">
      <c r="A472" s="976"/>
      <c r="B472" s="976"/>
      <c r="C472" s="976"/>
      <c r="D472" s="976"/>
      <c r="E472" s="976"/>
      <c r="F472" s="976"/>
      <c r="G472" s="976"/>
      <c r="H472" s="976"/>
      <c r="I472" s="976"/>
      <c r="J472" s="976"/>
      <c r="K472" s="976"/>
      <c r="L472" s="976"/>
      <c r="M472" s="976"/>
      <c r="N472" s="976"/>
      <c r="O472" s="976"/>
      <c r="P472" s="976"/>
      <c r="Q472" s="976"/>
      <c r="R472" s="976"/>
      <c r="S472" s="976"/>
      <c r="T472" s="976"/>
      <c r="U472" s="976"/>
      <c r="V472" s="976"/>
      <c r="W472" s="976"/>
      <c r="X472" s="976"/>
      <c r="Y472" s="976"/>
      <c r="Z472" s="976"/>
    </row>
    <row r="473" spans="1:26" ht="15" x14ac:dyDescent="0.25">
      <c r="A473" s="976"/>
      <c r="B473" s="976"/>
      <c r="C473" s="976"/>
      <c r="D473" s="976"/>
      <c r="E473" s="976"/>
      <c r="F473" s="976"/>
      <c r="G473" s="976"/>
      <c r="H473" s="976"/>
      <c r="I473" s="976"/>
      <c r="J473" s="976"/>
      <c r="K473" s="976"/>
      <c r="L473" s="976"/>
      <c r="M473" s="976"/>
      <c r="N473" s="976"/>
      <c r="O473" s="976"/>
      <c r="P473" s="976"/>
      <c r="Q473" s="976"/>
      <c r="R473" s="976"/>
      <c r="S473" s="976"/>
      <c r="T473" s="976"/>
      <c r="U473" s="976"/>
      <c r="V473" s="976"/>
      <c r="W473" s="976"/>
      <c r="X473" s="976"/>
      <c r="Y473" s="976"/>
      <c r="Z473" s="976"/>
    </row>
    <row r="474" spans="1:26" ht="15" x14ac:dyDescent="0.25">
      <c r="A474" s="976"/>
      <c r="B474" s="976"/>
      <c r="C474" s="976"/>
      <c r="D474" s="976"/>
      <c r="E474" s="976"/>
      <c r="F474" s="976"/>
      <c r="G474" s="976"/>
      <c r="H474" s="976"/>
      <c r="I474" s="976"/>
      <c r="J474" s="976"/>
      <c r="K474" s="976"/>
      <c r="L474" s="976"/>
      <c r="M474" s="976"/>
      <c r="N474" s="976"/>
      <c r="O474" s="976"/>
      <c r="P474" s="976"/>
      <c r="Q474" s="976"/>
      <c r="R474" s="976"/>
      <c r="S474" s="976"/>
      <c r="T474" s="976"/>
      <c r="U474" s="976"/>
      <c r="V474" s="976"/>
      <c r="W474" s="976"/>
      <c r="X474" s="976"/>
      <c r="Y474" s="976"/>
      <c r="Z474" s="976"/>
    </row>
    <row r="475" spans="1:26" ht="15" x14ac:dyDescent="0.25">
      <c r="A475" s="976"/>
      <c r="B475" s="976"/>
      <c r="C475" s="976"/>
      <c r="D475" s="976"/>
      <c r="E475" s="976"/>
      <c r="F475" s="976"/>
      <c r="G475" s="976"/>
      <c r="H475" s="976"/>
      <c r="I475" s="976"/>
      <c r="J475" s="976"/>
      <c r="K475" s="976"/>
      <c r="L475" s="976"/>
      <c r="M475" s="976"/>
      <c r="N475" s="976"/>
      <c r="O475" s="976"/>
      <c r="P475" s="976"/>
      <c r="Q475" s="976"/>
      <c r="R475" s="976"/>
      <c r="S475" s="976"/>
      <c r="T475" s="976"/>
      <c r="U475" s="976"/>
      <c r="V475" s="976"/>
      <c r="W475" s="976"/>
      <c r="X475" s="976"/>
      <c r="Y475" s="976"/>
      <c r="Z475" s="976"/>
    </row>
    <row r="476" spans="1:26" ht="15" x14ac:dyDescent="0.25">
      <c r="A476" s="976"/>
      <c r="B476" s="976"/>
      <c r="C476" s="976"/>
      <c r="D476" s="976"/>
      <c r="E476" s="976"/>
      <c r="F476" s="976"/>
      <c r="G476" s="976"/>
      <c r="H476" s="976"/>
      <c r="I476" s="976"/>
      <c r="J476" s="976"/>
      <c r="K476" s="976"/>
      <c r="L476" s="976"/>
      <c r="M476" s="976"/>
      <c r="N476" s="976"/>
      <c r="O476" s="976"/>
      <c r="P476" s="976"/>
      <c r="Q476" s="976"/>
      <c r="R476" s="976"/>
      <c r="S476" s="976"/>
      <c r="T476" s="976"/>
      <c r="U476" s="976"/>
      <c r="V476" s="976"/>
      <c r="W476" s="976"/>
      <c r="X476" s="976"/>
      <c r="Y476" s="976"/>
      <c r="Z476" s="976"/>
    </row>
    <row r="477" spans="1:26" ht="15" x14ac:dyDescent="0.25">
      <c r="A477" s="976"/>
      <c r="B477" s="976"/>
      <c r="C477" s="976"/>
      <c r="D477" s="976"/>
      <c r="E477" s="976"/>
      <c r="F477" s="976"/>
      <c r="G477" s="976"/>
      <c r="H477" s="976"/>
      <c r="I477" s="976"/>
      <c r="J477" s="976"/>
      <c r="K477" s="976"/>
      <c r="L477" s="976"/>
      <c r="M477" s="976"/>
      <c r="N477" s="976"/>
      <c r="O477" s="976"/>
      <c r="P477" s="976"/>
      <c r="Q477" s="976"/>
      <c r="R477" s="976"/>
      <c r="S477" s="976"/>
      <c r="T477" s="976"/>
      <c r="U477" s="976"/>
      <c r="V477" s="976"/>
      <c r="W477" s="976"/>
      <c r="X477" s="976"/>
      <c r="Y477" s="976"/>
      <c r="Z477" s="976"/>
    </row>
    <row r="478" spans="1:26" ht="15" x14ac:dyDescent="0.25">
      <c r="A478" s="976"/>
      <c r="B478" s="976"/>
      <c r="C478" s="976"/>
      <c r="D478" s="976"/>
      <c r="E478" s="976"/>
      <c r="F478" s="976"/>
      <c r="G478" s="976"/>
      <c r="H478" s="976"/>
      <c r="I478" s="976"/>
      <c r="J478" s="976"/>
      <c r="K478" s="976"/>
      <c r="L478" s="976"/>
      <c r="M478" s="976"/>
      <c r="N478" s="976"/>
      <c r="O478" s="976"/>
      <c r="P478" s="976"/>
      <c r="Q478" s="976"/>
      <c r="R478" s="976"/>
      <c r="S478" s="976"/>
      <c r="T478" s="976"/>
      <c r="U478" s="976"/>
      <c r="V478" s="976"/>
      <c r="W478" s="976"/>
      <c r="X478" s="976"/>
      <c r="Y478" s="976"/>
      <c r="Z478" s="976"/>
    </row>
    <row r="479" spans="1:26" ht="15" x14ac:dyDescent="0.25">
      <c r="A479" s="976"/>
      <c r="B479" s="976"/>
      <c r="C479" s="976"/>
      <c r="D479" s="976"/>
      <c r="E479" s="976"/>
      <c r="F479" s="976"/>
      <c r="G479" s="976"/>
      <c r="H479" s="976"/>
      <c r="I479" s="976"/>
      <c r="J479" s="976"/>
      <c r="K479" s="976"/>
      <c r="L479" s="976"/>
      <c r="M479" s="976"/>
      <c r="N479" s="976"/>
      <c r="O479" s="976"/>
      <c r="P479" s="976"/>
      <c r="Q479" s="976"/>
      <c r="R479" s="976"/>
      <c r="S479" s="976"/>
      <c r="T479" s="976"/>
      <c r="U479" s="976"/>
      <c r="V479" s="976"/>
      <c r="W479" s="976"/>
      <c r="X479" s="976"/>
      <c r="Y479" s="976"/>
      <c r="Z479" s="976"/>
    </row>
    <row r="480" spans="1:26" ht="15" x14ac:dyDescent="0.25">
      <c r="A480" s="976"/>
      <c r="B480" s="976"/>
      <c r="C480" s="976"/>
      <c r="D480" s="976"/>
      <c r="E480" s="976"/>
      <c r="F480" s="976"/>
      <c r="G480" s="976"/>
      <c r="H480" s="976"/>
      <c r="I480" s="976"/>
      <c r="J480" s="976"/>
      <c r="K480" s="976"/>
      <c r="L480" s="976"/>
      <c r="M480" s="976"/>
      <c r="N480" s="976"/>
      <c r="O480" s="976"/>
      <c r="P480" s="976"/>
      <c r="Q480" s="976"/>
      <c r="R480" s="976"/>
      <c r="S480" s="976"/>
      <c r="T480" s="976"/>
      <c r="U480" s="976"/>
      <c r="V480" s="976"/>
      <c r="W480" s="976"/>
      <c r="X480" s="976"/>
      <c r="Y480" s="976"/>
      <c r="Z480" s="976"/>
    </row>
    <row r="481" spans="1:26" ht="15" x14ac:dyDescent="0.25">
      <c r="A481" s="976"/>
      <c r="B481" s="976"/>
      <c r="C481" s="976"/>
      <c r="D481" s="976"/>
      <c r="E481" s="976"/>
      <c r="F481" s="976"/>
      <c r="G481" s="976"/>
      <c r="H481" s="976"/>
      <c r="I481" s="976"/>
      <c r="J481" s="976"/>
      <c r="K481" s="976"/>
      <c r="L481" s="976"/>
      <c r="M481" s="976"/>
      <c r="N481" s="976"/>
      <c r="O481" s="976"/>
      <c r="P481" s="976"/>
      <c r="Q481" s="976"/>
      <c r="R481" s="976"/>
      <c r="S481" s="976"/>
      <c r="T481" s="976"/>
      <c r="U481" s="976"/>
      <c r="V481" s="976"/>
      <c r="W481" s="976"/>
      <c r="X481" s="976"/>
      <c r="Y481" s="976"/>
      <c r="Z481" s="976"/>
    </row>
    <row r="482" spans="1:26" ht="15" x14ac:dyDescent="0.25">
      <c r="A482" s="976"/>
      <c r="B482" s="976"/>
      <c r="C482" s="976"/>
      <c r="D482" s="976"/>
      <c r="E482" s="976"/>
      <c r="F482" s="976"/>
      <c r="G482" s="976"/>
      <c r="H482" s="976"/>
      <c r="I482" s="976"/>
      <c r="J482" s="976"/>
      <c r="K482" s="976"/>
      <c r="L482" s="976"/>
      <c r="M482" s="976"/>
      <c r="N482" s="976"/>
      <c r="O482" s="976"/>
      <c r="P482" s="976"/>
      <c r="Q482" s="976"/>
      <c r="R482" s="976"/>
      <c r="S482" s="976"/>
      <c r="T482" s="976"/>
      <c r="U482" s="976"/>
      <c r="V482" s="976"/>
      <c r="W482" s="976"/>
      <c r="X482" s="976"/>
      <c r="Y482" s="976"/>
      <c r="Z482" s="976"/>
    </row>
    <row r="483" spans="1:26" ht="15" x14ac:dyDescent="0.25">
      <c r="A483" s="976"/>
      <c r="B483" s="976"/>
      <c r="C483" s="976"/>
      <c r="D483" s="976"/>
      <c r="E483" s="976"/>
      <c r="F483" s="976"/>
      <c r="G483" s="976"/>
      <c r="H483" s="976"/>
      <c r="I483" s="976"/>
      <c r="J483" s="976"/>
      <c r="K483" s="976"/>
      <c r="L483" s="976"/>
      <c r="M483" s="976"/>
      <c r="N483" s="976"/>
      <c r="O483" s="976"/>
      <c r="P483" s="976"/>
      <c r="Q483" s="976"/>
      <c r="R483" s="976"/>
      <c r="S483" s="976"/>
      <c r="T483" s="976"/>
      <c r="U483" s="976"/>
      <c r="V483" s="976"/>
      <c r="W483" s="976"/>
      <c r="X483" s="976"/>
      <c r="Y483" s="976"/>
      <c r="Z483" s="976"/>
    </row>
    <row r="484" spans="1:26" ht="15" x14ac:dyDescent="0.25">
      <c r="A484" s="976"/>
      <c r="B484" s="976"/>
      <c r="C484" s="976"/>
      <c r="D484" s="976"/>
      <c r="E484" s="976"/>
      <c r="F484" s="976"/>
      <c r="G484" s="976"/>
      <c r="H484" s="976"/>
      <c r="I484" s="976"/>
      <c r="J484" s="976"/>
      <c r="K484" s="976"/>
      <c r="L484" s="976"/>
      <c r="M484" s="976"/>
      <c r="N484" s="976"/>
      <c r="O484" s="976"/>
      <c r="P484" s="976"/>
      <c r="Q484" s="976"/>
      <c r="R484" s="976"/>
      <c r="S484" s="976"/>
      <c r="T484" s="976"/>
      <c r="U484" s="976"/>
      <c r="V484" s="976"/>
      <c r="W484" s="976"/>
      <c r="X484" s="976"/>
      <c r="Y484" s="976"/>
      <c r="Z484" s="976"/>
    </row>
    <row r="485" spans="1:26" ht="15" x14ac:dyDescent="0.25">
      <c r="A485" s="976"/>
      <c r="B485" s="976"/>
      <c r="C485" s="976"/>
      <c r="D485" s="976"/>
      <c r="E485" s="976"/>
      <c r="F485" s="976"/>
      <c r="G485" s="976"/>
      <c r="H485" s="976"/>
      <c r="I485" s="976"/>
      <c r="J485" s="976"/>
      <c r="K485" s="976"/>
      <c r="L485" s="976"/>
      <c r="M485" s="976"/>
      <c r="N485" s="976"/>
      <c r="O485" s="976"/>
      <c r="P485" s="976"/>
      <c r="Q485" s="976"/>
      <c r="R485" s="976"/>
      <c r="S485" s="976"/>
      <c r="T485" s="976"/>
      <c r="U485" s="976"/>
      <c r="V485" s="976"/>
      <c r="W485" s="976"/>
      <c r="X485" s="976"/>
      <c r="Y485" s="976"/>
      <c r="Z485" s="976"/>
    </row>
    <row r="486" spans="1:26" ht="15" x14ac:dyDescent="0.25">
      <c r="A486" s="976"/>
      <c r="B486" s="976"/>
      <c r="C486" s="976"/>
      <c r="D486" s="976"/>
      <c r="E486" s="976"/>
      <c r="F486" s="976"/>
      <c r="G486" s="976"/>
      <c r="H486" s="976"/>
      <c r="I486" s="976"/>
      <c r="J486" s="976"/>
      <c r="K486" s="976"/>
      <c r="L486" s="976"/>
      <c r="M486" s="976"/>
      <c r="N486" s="976"/>
      <c r="O486" s="976"/>
      <c r="P486" s="976"/>
      <c r="Q486" s="976"/>
      <c r="R486" s="976"/>
      <c r="S486" s="976"/>
      <c r="T486" s="976"/>
      <c r="U486" s="976"/>
      <c r="V486" s="976"/>
      <c r="W486" s="976"/>
      <c r="X486" s="976"/>
      <c r="Y486" s="976"/>
      <c r="Z486" s="976"/>
    </row>
    <row r="487" spans="1:26" ht="15" x14ac:dyDescent="0.25">
      <c r="A487" s="976"/>
      <c r="B487" s="976"/>
      <c r="C487" s="976"/>
      <c r="D487" s="976"/>
      <c r="E487" s="976"/>
      <c r="F487" s="976"/>
      <c r="G487" s="976"/>
      <c r="H487" s="976"/>
      <c r="I487" s="976"/>
      <c r="J487" s="976"/>
      <c r="K487" s="976"/>
      <c r="L487" s="976"/>
      <c r="M487" s="976"/>
      <c r="N487" s="976"/>
      <c r="O487" s="976"/>
      <c r="P487" s="976"/>
      <c r="Q487" s="976"/>
      <c r="R487" s="976"/>
      <c r="S487" s="976"/>
      <c r="T487" s="976"/>
      <c r="U487" s="976"/>
      <c r="V487" s="976"/>
      <c r="W487" s="976"/>
      <c r="X487" s="976"/>
      <c r="Y487" s="976"/>
      <c r="Z487" s="976"/>
    </row>
    <row r="488" spans="1:26" ht="15" x14ac:dyDescent="0.25">
      <c r="A488" s="976"/>
      <c r="B488" s="976"/>
      <c r="C488" s="976"/>
      <c r="D488" s="976"/>
      <c r="E488" s="976"/>
      <c r="F488" s="976"/>
      <c r="G488" s="976"/>
      <c r="H488" s="976"/>
      <c r="I488" s="976"/>
      <c r="J488" s="976"/>
      <c r="K488" s="976"/>
      <c r="L488" s="976"/>
      <c r="M488" s="976"/>
      <c r="N488" s="976"/>
      <c r="O488" s="976"/>
      <c r="P488" s="976"/>
      <c r="Q488" s="976"/>
      <c r="R488" s="976"/>
      <c r="S488" s="976"/>
      <c r="T488" s="976"/>
      <c r="U488" s="976"/>
      <c r="V488" s="976"/>
      <c r="W488" s="976"/>
      <c r="X488" s="976"/>
      <c r="Y488" s="976"/>
      <c r="Z488" s="976"/>
    </row>
    <row r="489" spans="1:26" ht="15" x14ac:dyDescent="0.25">
      <c r="A489" s="976"/>
      <c r="B489" s="976"/>
      <c r="C489" s="976"/>
      <c r="D489" s="976"/>
      <c r="E489" s="976"/>
      <c r="F489" s="976"/>
      <c r="G489" s="976"/>
      <c r="H489" s="976"/>
      <c r="I489" s="976"/>
      <c r="J489" s="976"/>
      <c r="K489" s="976"/>
      <c r="L489" s="976"/>
      <c r="M489" s="976"/>
      <c r="N489" s="976"/>
      <c r="O489" s="976"/>
      <c r="P489" s="976"/>
      <c r="Q489" s="976"/>
      <c r="R489" s="976"/>
      <c r="S489" s="976"/>
      <c r="T489" s="976"/>
      <c r="U489" s="976"/>
      <c r="V489" s="976"/>
      <c r="W489" s="976"/>
      <c r="X489" s="976"/>
      <c r="Y489" s="976"/>
      <c r="Z489" s="976"/>
    </row>
    <row r="490" spans="1:26" ht="15" x14ac:dyDescent="0.25">
      <c r="A490" s="976"/>
      <c r="B490" s="976"/>
      <c r="C490" s="976"/>
      <c r="D490" s="976"/>
      <c r="E490" s="976"/>
      <c r="F490" s="976"/>
      <c r="G490" s="976"/>
      <c r="H490" s="976"/>
      <c r="I490" s="976"/>
      <c r="J490" s="976"/>
      <c r="K490" s="976"/>
      <c r="L490" s="976"/>
      <c r="M490" s="976"/>
      <c r="N490" s="976"/>
      <c r="O490" s="976"/>
      <c r="P490" s="976"/>
      <c r="Q490" s="976"/>
      <c r="R490" s="976"/>
      <c r="S490" s="976"/>
      <c r="T490" s="976"/>
      <c r="U490" s="976"/>
      <c r="V490" s="976"/>
      <c r="W490" s="976"/>
      <c r="X490" s="976"/>
      <c r="Y490" s="976"/>
      <c r="Z490" s="976"/>
    </row>
    <row r="491" spans="1:26" ht="15" x14ac:dyDescent="0.25">
      <c r="A491" s="976"/>
      <c r="B491" s="976"/>
      <c r="C491" s="976"/>
      <c r="D491" s="976"/>
      <c r="E491" s="976"/>
      <c r="F491" s="976"/>
      <c r="G491" s="976"/>
      <c r="H491" s="976"/>
      <c r="I491" s="976"/>
      <c r="J491" s="976"/>
      <c r="K491" s="976"/>
      <c r="L491" s="976"/>
      <c r="M491" s="976"/>
      <c r="N491" s="976"/>
      <c r="O491" s="976"/>
      <c r="P491" s="976"/>
      <c r="Q491" s="976"/>
      <c r="R491" s="976"/>
      <c r="S491" s="976"/>
      <c r="T491" s="976"/>
      <c r="U491" s="976"/>
      <c r="V491" s="976"/>
      <c r="W491" s="976"/>
      <c r="X491" s="976"/>
      <c r="Y491" s="976"/>
      <c r="Z491" s="976"/>
    </row>
    <row r="492" spans="1:26" ht="15" x14ac:dyDescent="0.25">
      <c r="A492" s="976"/>
      <c r="B492" s="976"/>
      <c r="C492" s="976"/>
      <c r="D492" s="976"/>
      <c r="E492" s="976"/>
      <c r="F492" s="976"/>
      <c r="G492" s="976"/>
      <c r="H492" s="976"/>
      <c r="I492" s="976"/>
      <c r="J492" s="976"/>
      <c r="K492" s="976"/>
      <c r="L492" s="976"/>
      <c r="M492" s="976"/>
      <c r="N492" s="976"/>
      <c r="O492" s="976"/>
      <c r="P492" s="976"/>
      <c r="Q492" s="976"/>
      <c r="R492" s="976"/>
      <c r="S492" s="976"/>
      <c r="T492" s="976"/>
      <c r="U492" s="976"/>
      <c r="V492" s="976"/>
      <c r="W492" s="976"/>
      <c r="X492" s="976"/>
      <c r="Y492" s="976"/>
      <c r="Z492" s="976"/>
    </row>
    <row r="493" spans="1:26" ht="15" x14ac:dyDescent="0.25">
      <c r="A493" s="976"/>
      <c r="B493" s="976"/>
      <c r="C493" s="976"/>
      <c r="D493" s="976"/>
      <c r="E493" s="976"/>
      <c r="F493" s="976"/>
      <c r="G493" s="976"/>
      <c r="H493" s="976"/>
      <c r="I493" s="976"/>
      <c r="J493" s="976"/>
      <c r="K493" s="976"/>
      <c r="L493" s="976"/>
      <c r="M493" s="976"/>
      <c r="N493" s="976"/>
      <c r="O493" s="976"/>
      <c r="P493" s="976"/>
      <c r="Q493" s="976"/>
      <c r="R493" s="976"/>
      <c r="S493" s="976"/>
      <c r="T493" s="976"/>
      <c r="U493" s="976"/>
      <c r="V493" s="976"/>
      <c r="W493" s="976"/>
      <c r="X493" s="976"/>
      <c r="Y493" s="976"/>
      <c r="Z493" s="976"/>
    </row>
    <row r="494" spans="1:26" ht="15" x14ac:dyDescent="0.25">
      <c r="A494" s="976"/>
      <c r="B494" s="976"/>
      <c r="C494" s="976"/>
      <c r="D494" s="976"/>
      <c r="E494" s="976"/>
      <c r="F494" s="976"/>
      <c r="G494" s="976"/>
      <c r="H494" s="976"/>
      <c r="I494" s="976"/>
      <c r="J494" s="976"/>
      <c r="K494" s="976"/>
      <c r="L494" s="976"/>
      <c r="M494" s="976"/>
      <c r="N494" s="976"/>
      <c r="O494" s="976"/>
      <c r="P494" s="976"/>
      <c r="Q494" s="976"/>
      <c r="R494" s="976"/>
      <c r="S494" s="976"/>
      <c r="T494" s="976"/>
      <c r="U494" s="976"/>
      <c r="V494" s="976"/>
      <c r="W494" s="976"/>
      <c r="X494" s="976"/>
      <c r="Y494" s="976"/>
      <c r="Z494" s="976"/>
    </row>
    <row r="495" spans="1:26" ht="15" x14ac:dyDescent="0.25">
      <c r="A495" s="976"/>
      <c r="B495" s="976"/>
      <c r="C495" s="976"/>
      <c r="D495" s="976"/>
      <c r="E495" s="976"/>
      <c r="F495" s="976"/>
      <c r="G495" s="976"/>
      <c r="H495" s="976"/>
      <c r="I495" s="976"/>
      <c r="J495" s="976"/>
      <c r="K495" s="976"/>
      <c r="L495" s="976"/>
      <c r="M495" s="976"/>
      <c r="N495" s="976"/>
      <c r="O495" s="976"/>
      <c r="P495" s="976"/>
      <c r="Q495" s="976"/>
      <c r="R495" s="976"/>
      <c r="S495" s="976"/>
      <c r="T495" s="976"/>
      <c r="U495" s="976"/>
      <c r="V495" s="976"/>
      <c r="W495" s="976"/>
      <c r="X495" s="976"/>
      <c r="Y495" s="976"/>
      <c r="Z495" s="976"/>
    </row>
    <row r="496" spans="1:26" ht="15" x14ac:dyDescent="0.25">
      <c r="A496" s="976"/>
      <c r="B496" s="976"/>
      <c r="C496" s="976"/>
      <c r="D496" s="976"/>
      <c r="E496" s="976"/>
      <c r="F496" s="976"/>
      <c r="G496" s="976"/>
      <c r="H496" s="976"/>
      <c r="I496" s="976"/>
      <c r="J496" s="976"/>
      <c r="K496" s="976"/>
      <c r="L496" s="976"/>
      <c r="M496" s="976"/>
      <c r="N496" s="976"/>
      <c r="O496" s="976"/>
      <c r="P496" s="976"/>
      <c r="Q496" s="976"/>
      <c r="R496" s="976"/>
      <c r="S496" s="976"/>
      <c r="T496" s="976"/>
      <c r="U496" s="976"/>
      <c r="V496" s="976"/>
      <c r="W496" s="976"/>
      <c r="X496" s="976"/>
      <c r="Y496" s="976"/>
      <c r="Z496" s="976"/>
    </row>
    <row r="497" spans="1:26" ht="15" x14ac:dyDescent="0.25">
      <c r="A497" s="976"/>
      <c r="B497" s="976"/>
      <c r="C497" s="976"/>
      <c r="D497" s="976"/>
      <c r="E497" s="976"/>
      <c r="F497" s="976"/>
      <c r="G497" s="976"/>
      <c r="H497" s="976"/>
      <c r="I497" s="976"/>
      <c r="J497" s="976"/>
      <c r="K497" s="976"/>
      <c r="L497" s="976"/>
      <c r="M497" s="976"/>
      <c r="N497" s="976"/>
      <c r="O497" s="976"/>
      <c r="P497" s="976"/>
      <c r="Q497" s="976"/>
      <c r="R497" s="976"/>
      <c r="S497" s="976"/>
      <c r="T497" s="976"/>
      <c r="U497" s="976"/>
      <c r="V497" s="976"/>
      <c r="W497" s="976"/>
      <c r="X497" s="976"/>
      <c r="Y497" s="976"/>
      <c r="Z497" s="976"/>
    </row>
    <row r="498" spans="1:26" ht="15" x14ac:dyDescent="0.25">
      <c r="A498" s="976"/>
      <c r="B498" s="976"/>
      <c r="C498" s="976"/>
      <c r="D498" s="976"/>
      <c r="E498" s="976"/>
      <c r="F498" s="976"/>
      <c r="G498" s="976"/>
      <c r="H498" s="976"/>
      <c r="I498" s="976"/>
      <c r="J498" s="976"/>
      <c r="K498" s="976"/>
      <c r="L498" s="976"/>
      <c r="M498" s="976"/>
      <c r="N498" s="976"/>
      <c r="O498" s="976"/>
      <c r="P498" s="976"/>
      <c r="Q498" s="976"/>
      <c r="R498" s="976"/>
      <c r="S498" s="976"/>
      <c r="T498" s="976"/>
      <c r="U498" s="976"/>
      <c r="V498" s="976"/>
      <c r="W498" s="976"/>
      <c r="X498" s="976"/>
      <c r="Y498" s="976"/>
      <c r="Z498" s="976"/>
    </row>
    <row r="499" spans="1:26" ht="15" x14ac:dyDescent="0.25">
      <c r="A499" s="976"/>
      <c r="B499" s="976"/>
      <c r="C499" s="976"/>
      <c r="D499" s="976"/>
      <c r="E499" s="976"/>
      <c r="F499" s="976"/>
      <c r="G499" s="976"/>
      <c r="H499" s="976"/>
      <c r="I499" s="976"/>
      <c r="J499" s="976"/>
      <c r="K499" s="976"/>
      <c r="L499" s="976"/>
      <c r="M499" s="976"/>
      <c r="N499" s="976"/>
      <c r="O499" s="976"/>
      <c r="P499" s="976"/>
      <c r="Q499" s="976"/>
      <c r="R499" s="976"/>
      <c r="S499" s="976"/>
      <c r="T499" s="976"/>
      <c r="U499" s="976"/>
      <c r="V499" s="976"/>
      <c r="W499" s="976"/>
      <c r="X499" s="976"/>
      <c r="Y499" s="976"/>
      <c r="Z499" s="976"/>
    </row>
    <row r="500" spans="1:26" ht="15" x14ac:dyDescent="0.25">
      <c r="A500" s="976"/>
      <c r="B500" s="976"/>
      <c r="C500" s="976"/>
      <c r="D500" s="976"/>
      <c r="E500" s="976"/>
      <c r="F500" s="976"/>
      <c r="G500" s="976"/>
      <c r="H500" s="976"/>
      <c r="I500" s="976"/>
      <c r="J500" s="976"/>
      <c r="K500" s="976"/>
      <c r="L500" s="976"/>
      <c r="M500" s="976"/>
      <c r="N500" s="976"/>
      <c r="O500" s="976"/>
      <c r="P500" s="976"/>
      <c r="Q500" s="976"/>
      <c r="R500" s="976"/>
      <c r="S500" s="976"/>
      <c r="T500" s="976"/>
      <c r="U500" s="976"/>
      <c r="V500" s="976"/>
      <c r="W500" s="976"/>
      <c r="X500" s="976"/>
      <c r="Y500" s="976"/>
      <c r="Z500" s="976"/>
    </row>
    <row r="501" spans="1:26" ht="15" x14ac:dyDescent="0.25">
      <c r="A501" s="976"/>
      <c r="B501" s="976"/>
      <c r="C501" s="976"/>
      <c r="D501" s="976"/>
      <c r="E501" s="976"/>
      <c r="F501" s="976"/>
      <c r="G501" s="976"/>
      <c r="H501" s="976"/>
      <c r="I501" s="976"/>
      <c r="J501" s="976"/>
      <c r="K501" s="976"/>
      <c r="L501" s="976"/>
      <c r="M501" s="976"/>
      <c r="N501" s="976"/>
      <c r="O501" s="976"/>
      <c r="P501" s="976"/>
      <c r="Q501" s="976"/>
      <c r="R501" s="976"/>
      <c r="S501" s="976"/>
      <c r="T501" s="976"/>
      <c r="U501" s="976"/>
      <c r="V501" s="976"/>
      <c r="W501" s="976"/>
      <c r="X501" s="976"/>
      <c r="Y501" s="976"/>
      <c r="Z501" s="976"/>
    </row>
    <row r="502" spans="1:26" ht="15" x14ac:dyDescent="0.25">
      <c r="A502" s="976"/>
      <c r="B502" s="976"/>
      <c r="C502" s="976"/>
      <c r="D502" s="976"/>
      <c r="E502" s="976"/>
      <c r="F502" s="976"/>
      <c r="G502" s="976"/>
      <c r="H502" s="976"/>
      <c r="I502" s="976"/>
      <c r="J502" s="976"/>
      <c r="K502" s="976"/>
      <c r="L502" s="976"/>
      <c r="M502" s="976"/>
      <c r="N502" s="976"/>
      <c r="O502" s="976"/>
      <c r="P502" s="976"/>
      <c r="Q502" s="976"/>
      <c r="R502" s="976"/>
      <c r="S502" s="976"/>
      <c r="T502" s="976"/>
      <c r="U502" s="976"/>
      <c r="V502" s="976"/>
      <c r="W502" s="976"/>
      <c r="X502" s="976"/>
      <c r="Y502" s="976"/>
      <c r="Z502" s="976"/>
    </row>
    <row r="503" spans="1:26" ht="15" x14ac:dyDescent="0.25">
      <c r="A503" s="976"/>
      <c r="B503" s="976"/>
      <c r="C503" s="976"/>
      <c r="D503" s="976"/>
      <c r="E503" s="976"/>
      <c r="F503" s="976"/>
      <c r="G503" s="976"/>
      <c r="H503" s="976"/>
      <c r="I503" s="976"/>
      <c r="J503" s="976"/>
      <c r="K503" s="976"/>
      <c r="L503" s="976"/>
      <c r="M503" s="976"/>
      <c r="N503" s="976"/>
      <c r="O503" s="976"/>
      <c r="P503" s="976"/>
      <c r="Q503" s="976"/>
      <c r="R503" s="976"/>
      <c r="S503" s="976"/>
      <c r="T503" s="976"/>
      <c r="U503" s="976"/>
      <c r="V503" s="976"/>
      <c r="W503" s="976"/>
      <c r="X503" s="976"/>
      <c r="Y503" s="976"/>
      <c r="Z503" s="976"/>
    </row>
    <row r="504" spans="1:26" ht="15" x14ac:dyDescent="0.25">
      <c r="A504" s="976"/>
      <c r="B504" s="976"/>
      <c r="C504" s="976"/>
      <c r="D504" s="976"/>
      <c r="E504" s="976"/>
      <c r="F504" s="976"/>
      <c r="G504" s="976"/>
      <c r="H504" s="976"/>
      <c r="I504" s="976"/>
      <c r="J504" s="976"/>
      <c r="K504" s="976"/>
      <c r="L504" s="976"/>
      <c r="M504" s="976"/>
      <c r="N504" s="976"/>
      <c r="O504" s="976"/>
      <c r="P504" s="976"/>
      <c r="Q504" s="976"/>
      <c r="R504" s="976"/>
      <c r="S504" s="976"/>
      <c r="T504" s="976"/>
      <c r="U504" s="976"/>
      <c r="V504" s="976"/>
      <c r="W504" s="976"/>
      <c r="X504" s="976"/>
      <c r="Y504" s="976"/>
      <c r="Z504" s="976"/>
    </row>
    <row r="505" spans="1:26" ht="15" x14ac:dyDescent="0.25">
      <c r="A505" s="976"/>
      <c r="B505" s="976"/>
      <c r="C505" s="976"/>
      <c r="D505" s="976"/>
      <c r="E505" s="976"/>
      <c r="F505" s="976"/>
      <c r="G505" s="976"/>
      <c r="H505" s="976"/>
      <c r="I505" s="976"/>
      <c r="J505" s="976"/>
      <c r="K505" s="976"/>
      <c r="L505" s="976"/>
      <c r="M505" s="976"/>
      <c r="N505" s="976"/>
      <c r="O505" s="976"/>
      <c r="P505" s="976"/>
      <c r="Q505" s="976"/>
      <c r="R505" s="976"/>
      <c r="S505" s="976"/>
      <c r="T505" s="976"/>
      <c r="U505" s="976"/>
      <c r="V505" s="976"/>
      <c r="W505" s="976"/>
      <c r="X505" s="976"/>
      <c r="Y505" s="976"/>
      <c r="Z505" s="976"/>
    </row>
    <row r="506" spans="1:26" ht="15" x14ac:dyDescent="0.25">
      <c r="A506" s="976"/>
      <c r="B506" s="976"/>
      <c r="C506" s="976"/>
      <c r="D506" s="976"/>
      <c r="E506" s="976"/>
      <c r="F506" s="976"/>
      <c r="G506" s="976"/>
      <c r="H506" s="976"/>
      <c r="I506" s="976"/>
      <c r="J506" s="976"/>
      <c r="K506" s="976"/>
      <c r="L506" s="976"/>
      <c r="M506" s="976"/>
      <c r="N506" s="976"/>
      <c r="O506" s="976"/>
      <c r="P506" s="976"/>
      <c r="Q506" s="976"/>
      <c r="R506" s="976"/>
      <c r="S506" s="976"/>
      <c r="T506" s="976"/>
      <c r="U506" s="976"/>
      <c r="V506" s="976"/>
      <c r="W506" s="976"/>
      <c r="X506" s="976"/>
      <c r="Y506" s="976"/>
      <c r="Z506" s="976"/>
    </row>
    <row r="507" spans="1:26" ht="15" x14ac:dyDescent="0.25">
      <c r="A507" s="976"/>
      <c r="B507" s="976"/>
      <c r="C507" s="976"/>
      <c r="D507" s="976"/>
      <c r="E507" s="976"/>
      <c r="F507" s="976"/>
      <c r="G507" s="976"/>
      <c r="H507" s="976"/>
      <c r="I507" s="976"/>
      <c r="J507" s="976"/>
      <c r="K507" s="976"/>
      <c r="L507" s="976"/>
      <c r="M507" s="976"/>
      <c r="N507" s="976"/>
      <c r="O507" s="976"/>
      <c r="P507" s="976"/>
      <c r="Q507" s="976"/>
      <c r="R507" s="976"/>
      <c r="S507" s="976"/>
      <c r="T507" s="976"/>
      <c r="U507" s="976"/>
      <c r="V507" s="976"/>
      <c r="W507" s="976"/>
      <c r="X507" s="976"/>
      <c r="Y507" s="976"/>
      <c r="Z507" s="976"/>
    </row>
    <row r="508" spans="1:26" ht="15" x14ac:dyDescent="0.25">
      <c r="A508" s="976"/>
      <c r="B508" s="976"/>
      <c r="C508" s="976"/>
      <c r="D508" s="976"/>
      <c r="E508" s="976"/>
      <c r="F508" s="976"/>
      <c r="G508" s="976"/>
      <c r="H508" s="976"/>
      <c r="I508" s="976"/>
      <c r="J508" s="976"/>
      <c r="K508" s="976"/>
      <c r="L508" s="976"/>
      <c r="M508" s="976"/>
      <c r="N508" s="976"/>
      <c r="O508" s="976"/>
      <c r="P508" s="976"/>
      <c r="Q508" s="976"/>
      <c r="R508" s="976"/>
      <c r="S508" s="976"/>
      <c r="T508" s="976"/>
      <c r="U508" s="976"/>
      <c r="V508" s="976"/>
      <c r="W508" s="976"/>
      <c r="X508" s="976"/>
      <c r="Y508" s="976"/>
      <c r="Z508" s="976"/>
    </row>
    <row r="509" spans="1:26" ht="15" x14ac:dyDescent="0.25">
      <c r="A509" s="976"/>
      <c r="B509" s="976"/>
      <c r="C509" s="976"/>
      <c r="D509" s="976"/>
      <c r="E509" s="976"/>
      <c r="F509" s="976"/>
      <c r="G509" s="976"/>
      <c r="H509" s="976"/>
      <c r="I509" s="976"/>
      <c r="J509" s="976"/>
      <c r="K509" s="976"/>
      <c r="L509" s="976"/>
      <c r="M509" s="976"/>
      <c r="N509" s="976"/>
      <c r="O509" s="976"/>
      <c r="P509" s="976"/>
      <c r="Q509" s="976"/>
      <c r="R509" s="976"/>
      <c r="S509" s="976"/>
      <c r="T509" s="976"/>
      <c r="U509" s="976"/>
      <c r="V509" s="976"/>
      <c r="W509" s="976"/>
      <c r="X509" s="976"/>
      <c r="Y509" s="976"/>
      <c r="Z509" s="976"/>
    </row>
    <row r="510" spans="1:26" ht="15" x14ac:dyDescent="0.25">
      <c r="A510" s="976"/>
      <c r="B510" s="976"/>
      <c r="C510" s="976"/>
      <c r="D510" s="976"/>
      <c r="E510" s="976"/>
      <c r="F510" s="976"/>
      <c r="G510" s="976"/>
      <c r="H510" s="976"/>
      <c r="I510" s="976"/>
      <c r="J510" s="976"/>
      <c r="K510" s="976"/>
      <c r="L510" s="976"/>
      <c r="M510" s="976"/>
      <c r="N510" s="976"/>
      <c r="O510" s="976"/>
      <c r="P510" s="976"/>
      <c r="Q510" s="976"/>
      <c r="R510" s="976"/>
      <c r="S510" s="976"/>
      <c r="T510" s="976"/>
      <c r="U510" s="976"/>
      <c r="V510" s="976"/>
      <c r="W510" s="976"/>
      <c r="X510" s="976"/>
      <c r="Y510" s="976"/>
      <c r="Z510" s="976"/>
    </row>
    <row r="511" spans="1:26" ht="15" x14ac:dyDescent="0.25">
      <c r="A511" s="976"/>
      <c r="B511" s="976"/>
      <c r="C511" s="976"/>
      <c r="D511" s="976"/>
      <c r="E511" s="976"/>
      <c r="F511" s="976"/>
      <c r="G511" s="976"/>
      <c r="H511" s="976"/>
      <c r="I511" s="976"/>
      <c r="J511" s="976"/>
      <c r="K511" s="976"/>
      <c r="L511" s="976"/>
      <c r="M511" s="976"/>
      <c r="N511" s="976"/>
      <c r="O511" s="976"/>
      <c r="P511" s="976"/>
      <c r="Q511" s="976"/>
      <c r="R511" s="976"/>
      <c r="S511" s="976"/>
      <c r="T511" s="976"/>
      <c r="U511" s="976"/>
      <c r="V511" s="976"/>
      <c r="W511" s="976"/>
      <c r="X511" s="976"/>
      <c r="Y511" s="976"/>
      <c r="Z511" s="976"/>
    </row>
    <row r="512" spans="1:26" ht="15" x14ac:dyDescent="0.25">
      <c r="A512" s="976"/>
      <c r="B512" s="976"/>
      <c r="C512" s="976"/>
      <c r="D512" s="976"/>
      <c r="E512" s="976"/>
      <c r="F512" s="976"/>
      <c r="G512" s="976"/>
      <c r="H512" s="976"/>
      <c r="I512" s="976"/>
      <c r="J512" s="976"/>
      <c r="K512" s="976"/>
      <c r="L512" s="976"/>
      <c r="M512" s="976"/>
      <c r="N512" s="976"/>
      <c r="O512" s="976"/>
      <c r="P512" s="976"/>
      <c r="Q512" s="976"/>
      <c r="R512" s="976"/>
      <c r="S512" s="976"/>
      <c r="T512" s="976"/>
      <c r="U512" s="976"/>
      <c r="V512" s="976"/>
      <c r="W512" s="976"/>
      <c r="X512" s="976"/>
      <c r="Y512" s="976"/>
      <c r="Z512" s="976"/>
    </row>
    <row r="513" spans="1:26" ht="15" x14ac:dyDescent="0.25">
      <c r="A513" s="976"/>
      <c r="B513" s="976"/>
      <c r="C513" s="976"/>
      <c r="D513" s="976"/>
      <c r="E513" s="976"/>
      <c r="F513" s="976"/>
      <c r="G513" s="976"/>
      <c r="H513" s="976"/>
      <c r="I513" s="976"/>
      <c r="J513" s="976"/>
      <c r="K513" s="976"/>
      <c r="L513" s="976"/>
      <c r="M513" s="976"/>
      <c r="N513" s="976"/>
      <c r="O513" s="976"/>
      <c r="P513" s="976"/>
      <c r="Q513" s="976"/>
      <c r="R513" s="976"/>
      <c r="S513" s="976"/>
      <c r="T513" s="976"/>
      <c r="U513" s="976"/>
      <c r="V513" s="976"/>
      <c r="W513" s="976"/>
      <c r="X513" s="976"/>
      <c r="Y513" s="976"/>
      <c r="Z513" s="976"/>
    </row>
    <row r="514" spans="1:26" ht="15" x14ac:dyDescent="0.25">
      <c r="A514" s="976"/>
      <c r="B514" s="976"/>
      <c r="C514" s="976"/>
      <c r="D514" s="976"/>
      <c r="E514" s="976"/>
      <c r="F514" s="976"/>
      <c r="G514" s="976"/>
      <c r="H514" s="976"/>
      <c r="I514" s="976"/>
      <c r="J514" s="976"/>
      <c r="K514" s="976"/>
      <c r="L514" s="976"/>
      <c r="M514" s="976"/>
      <c r="N514" s="976"/>
      <c r="O514" s="976"/>
      <c r="P514" s="976"/>
      <c r="Q514" s="976"/>
      <c r="R514" s="976"/>
      <c r="S514" s="976"/>
      <c r="T514" s="976"/>
      <c r="U514" s="976"/>
      <c r="V514" s="976"/>
      <c r="W514" s="976"/>
      <c r="X514" s="976"/>
      <c r="Y514" s="976"/>
      <c r="Z514" s="976"/>
    </row>
    <row r="515" spans="1:26" ht="15" x14ac:dyDescent="0.25">
      <c r="A515" s="976"/>
      <c r="B515" s="976"/>
      <c r="C515" s="976"/>
      <c r="D515" s="976"/>
      <c r="E515" s="976"/>
      <c r="F515" s="976"/>
      <c r="G515" s="976"/>
      <c r="H515" s="976"/>
      <c r="I515" s="976"/>
      <c r="J515" s="976"/>
      <c r="K515" s="976"/>
      <c r="L515" s="976"/>
      <c r="M515" s="976"/>
      <c r="N515" s="976"/>
      <c r="O515" s="976"/>
      <c r="P515" s="976"/>
      <c r="Q515" s="976"/>
      <c r="R515" s="976"/>
      <c r="S515" s="976"/>
      <c r="T515" s="976"/>
      <c r="U515" s="976"/>
      <c r="V515" s="976"/>
      <c r="W515" s="976"/>
      <c r="X515" s="976"/>
      <c r="Y515" s="976"/>
      <c r="Z515" s="976"/>
    </row>
    <row r="516" spans="1:26" ht="15" x14ac:dyDescent="0.25">
      <c r="A516" s="976"/>
      <c r="B516" s="976"/>
      <c r="C516" s="976"/>
      <c r="D516" s="976"/>
      <c r="E516" s="976"/>
      <c r="F516" s="976"/>
      <c r="G516" s="976"/>
      <c r="H516" s="976"/>
      <c r="I516" s="976"/>
      <c r="J516" s="976"/>
      <c r="K516" s="976"/>
      <c r="L516" s="976"/>
      <c r="M516" s="976"/>
      <c r="N516" s="976"/>
      <c r="O516" s="976"/>
      <c r="P516" s="976"/>
      <c r="Q516" s="976"/>
      <c r="R516" s="976"/>
      <c r="S516" s="976"/>
      <c r="T516" s="976"/>
      <c r="U516" s="976"/>
      <c r="V516" s="976"/>
      <c r="W516" s="976"/>
      <c r="X516" s="976"/>
      <c r="Y516" s="976"/>
      <c r="Z516" s="976"/>
    </row>
    <row r="517" spans="1:26" ht="15" x14ac:dyDescent="0.25">
      <c r="A517" s="976"/>
      <c r="B517" s="976"/>
      <c r="C517" s="976"/>
      <c r="D517" s="976"/>
      <c r="E517" s="976"/>
      <c r="F517" s="976"/>
      <c r="G517" s="976"/>
      <c r="H517" s="976"/>
      <c r="I517" s="976"/>
      <c r="J517" s="976"/>
      <c r="K517" s="976"/>
      <c r="L517" s="976"/>
      <c r="M517" s="976"/>
      <c r="N517" s="976"/>
      <c r="O517" s="976"/>
      <c r="P517" s="976"/>
      <c r="Q517" s="976"/>
      <c r="R517" s="976"/>
      <c r="S517" s="976"/>
      <c r="T517" s="976"/>
      <c r="U517" s="976"/>
      <c r="V517" s="976"/>
      <c r="W517" s="976"/>
      <c r="X517" s="976"/>
      <c r="Y517" s="976"/>
      <c r="Z517" s="976"/>
    </row>
    <row r="518" spans="1:26" ht="15" x14ac:dyDescent="0.25">
      <c r="A518" s="976"/>
      <c r="B518" s="976"/>
      <c r="C518" s="976"/>
      <c r="D518" s="976"/>
      <c r="E518" s="976"/>
      <c r="F518" s="976"/>
      <c r="G518" s="976"/>
      <c r="H518" s="976"/>
      <c r="I518" s="976"/>
      <c r="J518" s="976"/>
      <c r="K518" s="976"/>
      <c r="L518" s="976"/>
      <c r="M518" s="976"/>
      <c r="N518" s="976"/>
      <c r="O518" s="976"/>
      <c r="P518" s="976"/>
      <c r="Q518" s="976"/>
      <c r="R518" s="976"/>
      <c r="S518" s="976"/>
      <c r="T518" s="976"/>
      <c r="U518" s="976"/>
      <c r="V518" s="976"/>
      <c r="W518" s="976"/>
      <c r="X518" s="976"/>
      <c r="Y518" s="976"/>
      <c r="Z518" s="976"/>
    </row>
    <row r="519" spans="1:26" ht="15" x14ac:dyDescent="0.25">
      <c r="A519" s="976"/>
      <c r="B519" s="976"/>
      <c r="C519" s="976"/>
      <c r="D519" s="976"/>
      <c r="E519" s="976"/>
      <c r="F519" s="976"/>
      <c r="G519" s="976"/>
      <c r="H519" s="976"/>
      <c r="I519" s="976"/>
      <c r="J519" s="976"/>
      <c r="K519" s="976"/>
      <c r="L519" s="976"/>
      <c r="M519" s="976"/>
      <c r="N519" s="976"/>
      <c r="O519" s="976"/>
      <c r="P519" s="976"/>
      <c r="Q519" s="976"/>
      <c r="R519" s="976"/>
      <c r="S519" s="976"/>
      <c r="T519" s="976"/>
      <c r="U519" s="976"/>
      <c r="V519" s="976"/>
      <c r="W519" s="976"/>
      <c r="X519" s="976"/>
      <c r="Y519" s="976"/>
      <c r="Z519" s="976"/>
    </row>
    <row r="520" spans="1:26" ht="15" x14ac:dyDescent="0.25">
      <c r="A520" s="976"/>
      <c r="B520" s="976"/>
      <c r="C520" s="976"/>
      <c r="D520" s="976"/>
      <c r="E520" s="976"/>
      <c r="F520" s="976"/>
      <c r="G520" s="976"/>
      <c r="H520" s="976"/>
      <c r="I520" s="976"/>
      <c r="J520" s="976"/>
      <c r="K520" s="976"/>
      <c r="L520" s="976"/>
      <c r="M520" s="976"/>
      <c r="N520" s="976"/>
      <c r="O520" s="976"/>
      <c r="P520" s="976"/>
      <c r="Q520" s="976"/>
      <c r="R520" s="976"/>
      <c r="S520" s="976"/>
      <c r="T520" s="976"/>
      <c r="U520" s="976"/>
      <c r="V520" s="976"/>
      <c r="W520" s="976"/>
      <c r="X520" s="976"/>
      <c r="Y520" s="976"/>
      <c r="Z520" s="976"/>
    </row>
    <row r="521" spans="1:26" ht="15" x14ac:dyDescent="0.25">
      <c r="A521" s="976"/>
      <c r="B521" s="976"/>
      <c r="C521" s="976"/>
      <c r="D521" s="976"/>
      <c r="E521" s="976"/>
      <c r="F521" s="976"/>
      <c r="G521" s="976"/>
      <c r="H521" s="976"/>
      <c r="I521" s="976"/>
      <c r="J521" s="976"/>
      <c r="K521" s="976"/>
      <c r="L521" s="976"/>
      <c r="M521" s="976"/>
      <c r="N521" s="976"/>
      <c r="O521" s="976"/>
      <c r="P521" s="976"/>
      <c r="Q521" s="976"/>
      <c r="R521" s="976"/>
      <c r="S521" s="976"/>
      <c r="T521" s="976"/>
      <c r="U521" s="976"/>
      <c r="V521" s="976"/>
      <c r="W521" s="976"/>
      <c r="X521" s="976"/>
      <c r="Y521" s="976"/>
      <c r="Z521" s="976"/>
    </row>
    <row r="522" spans="1:26" ht="15" x14ac:dyDescent="0.25">
      <c r="A522" s="976"/>
      <c r="B522" s="976"/>
      <c r="C522" s="976"/>
      <c r="D522" s="976"/>
      <c r="E522" s="976"/>
      <c r="F522" s="976"/>
      <c r="G522" s="976"/>
      <c r="H522" s="976"/>
      <c r="I522" s="976"/>
      <c r="J522" s="976"/>
      <c r="K522" s="976"/>
      <c r="L522" s="976"/>
      <c r="M522" s="976"/>
      <c r="N522" s="976"/>
      <c r="O522" s="976"/>
      <c r="P522" s="976"/>
      <c r="Q522" s="976"/>
      <c r="R522" s="976"/>
      <c r="S522" s="976"/>
      <c r="T522" s="976"/>
      <c r="U522" s="976"/>
      <c r="V522" s="976"/>
      <c r="W522" s="976"/>
      <c r="X522" s="976"/>
      <c r="Y522" s="976"/>
      <c r="Z522" s="976"/>
    </row>
    <row r="523" spans="1:26" ht="15" x14ac:dyDescent="0.25">
      <c r="A523" s="976"/>
      <c r="B523" s="976"/>
      <c r="C523" s="976"/>
      <c r="D523" s="976"/>
      <c r="E523" s="976"/>
      <c r="F523" s="976"/>
      <c r="G523" s="976"/>
      <c r="H523" s="976"/>
      <c r="I523" s="976"/>
      <c r="J523" s="976"/>
      <c r="K523" s="976"/>
      <c r="L523" s="976"/>
      <c r="M523" s="976"/>
      <c r="N523" s="976"/>
      <c r="O523" s="976"/>
      <c r="P523" s="976"/>
      <c r="Q523" s="976"/>
      <c r="R523" s="976"/>
      <c r="S523" s="976"/>
      <c r="T523" s="976"/>
      <c r="U523" s="976"/>
      <c r="V523" s="976"/>
      <c r="W523" s="976"/>
      <c r="X523" s="976"/>
      <c r="Y523" s="976"/>
      <c r="Z523" s="976"/>
    </row>
    <row r="524" spans="1:26" ht="15" x14ac:dyDescent="0.25">
      <c r="A524" s="976"/>
      <c r="B524" s="976"/>
      <c r="C524" s="976"/>
      <c r="D524" s="976"/>
      <c r="E524" s="976"/>
      <c r="F524" s="976"/>
      <c r="G524" s="976"/>
      <c r="H524" s="976"/>
      <c r="I524" s="976"/>
      <c r="J524" s="976"/>
      <c r="K524" s="976"/>
      <c r="L524" s="976"/>
      <c r="M524" s="976"/>
      <c r="N524" s="976"/>
      <c r="O524" s="976"/>
      <c r="P524" s="976"/>
      <c r="Q524" s="976"/>
      <c r="R524" s="976"/>
      <c r="S524" s="976"/>
      <c r="T524" s="976"/>
      <c r="U524" s="976"/>
      <c r="V524" s="976"/>
      <c r="W524" s="976"/>
      <c r="X524" s="976"/>
      <c r="Y524" s="976"/>
      <c r="Z524" s="976"/>
    </row>
    <row r="525" spans="1:26" ht="15" x14ac:dyDescent="0.25">
      <c r="A525" s="976"/>
      <c r="B525" s="976"/>
      <c r="C525" s="976"/>
      <c r="D525" s="976"/>
      <c r="E525" s="976"/>
      <c r="F525" s="976"/>
      <c r="G525" s="976"/>
      <c r="H525" s="976"/>
      <c r="I525" s="976"/>
      <c r="J525" s="976"/>
      <c r="K525" s="976"/>
      <c r="L525" s="976"/>
      <c r="M525" s="976"/>
      <c r="N525" s="976"/>
      <c r="O525" s="976"/>
      <c r="P525" s="976"/>
      <c r="Q525" s="976"/>
      <c r="R525" s="976"/>
      <c r="S525" s="976"/>
      <c r="T525" s="976"/>
      <c r="U525" s="976"/>
      <c r="V525" s="976"/>
      <c r="W525" s="976"/>
      <c r="X525" s="976"/>
      <c r="Y525" s="976"/>
      <c r="Z525" s="976"/>
    </row>
    <row r="526" spans="1:26" ht="15" x14ac:dyDescent="0.25">
      <c r="A526" s="976"/>
      <c r="B526" s="976"/>
      <c r="C526" s="976"/>
      <c r="D526" s="976"/>
      <c r="E526" s="976"/>
      <c r="F526" s="976"/>
      <c r="G526" s="976"/>
      <c r="H526" s="976"/>
      <c r="I526" s="976"/>
      <c r="J526" s="976"/>
      <c r="K526" s="976"/>
      <c r="L526" s="976"/>
      <c r="M526" s="976"/>
      <c r="N526" s="976"/>
      <c r="O526" s="976"/>
      <c r="P526" s="976"/>
      <c r="Q526" s="976"/>
      <c r="R526" s="976"/>
      <c r="S526" s="976"/>
      <c r="T526" s="976"/>
      <c r="U526" s="976"/>
      <c r="V526" s="976"/>
      <c r="W526" s="976"/>
      <c r="X526" s="976"/>
      <c r="Y526" s="976"/>
      <c r="Z526" s="976"/>
    </row>
    <row r="527" spans="1:26" ht="15" x14ac:dyDescent="0.25">
      <c r="A527" s="976"/>
      <c r="B527" s="976"/>
      <c r="C527" s="976"/>
      <c r="D527" s="976"/>
      <c r="E527" s="976"/>
      <c r="F527" s="976"/>
      <c r="G527" s="976"/>
      <c r="H527" s="976"/>
      <c r="I527" s="976"/>
      <c r="J527" s="976"/>
      <c r="K527" s="976"/>
      <c r="L527" s="976"/>
      <c r="M527" s="976"/>
      <c r="N527" s="976"/>
      <c r="O527" s="976"/>
      <c r="P527" s="976"/>
      <c r="Q527" s="976"/>
      <c r="R527" s="976"/>
      <c r="S527" s="976"/>
      <c r="T527" s="976"/>
      <c r="U527" s="976"/>
      <c r="V527" s="976"/>
      <c r="W527" s="976"/>
      <c r="X527" s="976"/>
      <c r="Y527" s="976"/>
      <c r="Z527" s="976"/>
    </row>
    <row r="528" spans="1:26" ht="15" x14ac:dyDescent="0.25">
      <c r="A528" s="976"/>
      <c r="B528" s="976"/>
      <c r="C528" s="976"/>
      <c r="D528" s="976"/>
      <c r="E528" s="976"/>
      <c r="F528" s="976"/>
      <c r="G528" s="976"/>
      <c r="H528" s="976"/>
      <c r="I528" s="976"/>
      <c r="J528" s="976"/>
      <c r="K528" s="976"/>
      <c r="L528" s="976"/>
      <c r="M528" s="976"/>
      <c r="N528" s="976"/>
      <c r="O528" s="976"/>
      <c r="P528" s="976"/>
      <c r="Q528" s="976"/>
      <c r="R528" s="976"/>
      <c r="S528" s="976"/>
      <c r="T528" s="976"/>
      <c r="U528" s="976"/>
      <c r="V528" s="976"/>
      <c r="W528" s="976"/>
      <c r="X528" s="976"/>
      <c r="Y528" s="976"/>
      <c r="Z528" s="976"/>
    </row>
    <row r="529" spans="1:26" ht="15" x14ac:dyDescent="0.25">
      <c r="A529" s="976"/>
      <c r="B529" s="976"/>
      <c r="C529" s="976"/>
      <c r="D529" s="976"/>
      <c r="E529" s="976"/>
      <c r="F529" s="976"/>
      <c r="G529" s="976"/>
      <c r="H529" s="976"/>
      <c r="I529" s="976"/>
      <c r="J529" s="976"/>
      <c r="K529" s="976"/>
      <c r="L529" s="976"/>
      <c r="M529" s="976"/>
      <c r="N529" s="976"/>
      <c r="O529" s="976"/>
      <c r="P529" s="976"/>
      <c r="Q529" s="976"/>
      <c r="R529" s="976"/>
      <c r="S529" s="976"/>
      <c r="T529" s="976"/>
      <c r="U529" s="976"/>
      <c r="V529" s="976"/>
      <c r="W529" s="976"/>
      <c r="X529" s="976"/>
      <c r="Y529" s="976"/>
      <c r="Z529" s="976"/>
    </row>
    <row r="530" spans="1:26" ht="15" x14ac:dyDescent="0.25">
      <c r="A530" s="976"/>
      <c r="B530" s="976"/>
      <c r="C530" s="976"/>
      <c r="D530" s="976"/>
      <c r="E530" s="976"/>
      <c r="F530" s="976"/>
      <c r="G530" s="976"/>
      <c r="H530" s="976"/>
      <c r="I530" s="976"/>
      <c r="J530" s="976"/>
      <c r="K530" s="976"/>
      <c r="L530" s="976"/>
      <c r="M530" s="976"/>
      <c r="N530" s="976"/>
      <c r="O530" s="976"/>
      <c r="P530" s="976"/>
      <c r="Q530" s="976"/>
      <c r="R530" s="976"/>
      <c r="S530" s="976"/>
      <c r="T530" s="976"/>
      <c r="U530" s="976"/>
      <c r="V530" s="976"/>
      <c r="W530" s="976"/>
      <c r="X530" s="976"/>
      <c r="Y530" s="976"/>
      <c r="Z530" s="976"/>
    </row>
    <row r="531" spans="1:26" ht="15" x14ac:dyDescent="0.25">
      <c r="A531" s="976"/>
      <c r="B531" s="976"/>
      <c r="C531" s="976"/>
      <c r="D531" s="976"/>
      <c r="E531" s="976"/>
      <c r="F531" s="976"/>
      <c r="G531" s="976"/>
      <c r="H531" s="976"/>
      <c r="I531" s="976"/>
      <c r="J531" s="976"/>
      <c r="K531" s="976"/>
      <c r="L531" s="976"/>
      <c r="M531" s="976"/>
      <c r="N531" s="976"/>
      <c r="O531" s="976"/>
      <c r="P531" s="976"/>
      <c r="Q531" s="976"/>
      <c r="R531" s="976"/>
      <c r="S531" s="976"/>
      <c r="T531" s="976"/>
      <c r="U531" s="976"/>
      <c r="V531" s="976"/>
      <c r="W531" s="976"/>
      <c r="X531" s="976"/>
      <c r="Y531" s="976"/>
      <c r="Z531" s="976"/>
    </row>
    <row r="532" spans="1:26" ht="15" x14ac:dyDescent="0.25">
      <c r="A532" s="976"/>
      <c r="B532" s="976"/>
      <c r="C532" s="976"/>
      <c r="D532" s="976"/>
      <c r="E532" s="976"/>
      <c r="F532" s="976"/>
      <c r="G532" s="976"/>
      <c r="H532" s="976"/>
      <c r="I532" s="976"/>
      <c r="J532" s="976"/>
      <c r="K532" s="976"/>
      <c r="L532" s="976"/>
      <c r="M532" s="976"/>
      <c r="N532" s="976"/>
      <c r="O532" s="976"/>
      <c r="P532" s="976"/>
      <c r="Q532" s="976"/>
      <c r="R532" s="976"/>
      <c r="S532" s="976"/>
      <c r="T532" s="976"/>
      <c r="U532" s="976"/>
      <c r="V532" s="976"/>
      <c r="W532" s="976"/>
      <c r="X532" s="976"/>
      <c r="Y532" s="976"/>
      <c r="Z532" s="976"/>
    </row>
    <row r="533" spans="1:26" ht="15" x14ac:dyDescent="0.25">
      <c r="A533" s="976"/>
      <c r="B533" s="976"/>
      <c r="C533" s="976"/>
      <c r="D533" s="976"/>
      <c r="E533" s="976"/>
      <c r="F533" s="976"/>
      <c r="G533" s="976"/>
      <c r="H533" s="976"/>
      <c r="I533" s="976"/>
      <c r="J533" s="976"/>
      <c r="K533" s="976"/>
      <c r="L533" s="976"/>
      <c r="M533" s="976"/>
      <c r="N533" s="976"/>
      <c r="O533" s="976"/>
      <c r="P533" s="976"/>
      <c r="Q533" s="976"/>
      <c r="R533" s="976"/>
      <c r="S533" s="976"/>
      <c r="T533" s="976"/>
      <c r="U533" s="976"/>
      <c r="V533" s="976"/>
      <c r="W533" s="976"/>
      <c r="X533" s="976"/>
      <c r="Y533" s="976"/>
      <c r="Z533" s="976"/>
    </row>
    <row r="534" spans="1:26" ht="15" x14ac:dyDescent="0.25">
      <c r="A534" s="976"/>
      <c r="B534" s="976"/>
      <c r="C534" s="976"/>
      <c r="D534" s="976"/>
      <c r="E534" s="976"/>
      <c r="F534" s="976"/>
      <c r="G534" s="976"/>
      <c r="H534" s="976"/>
      <c r="I534" s="976"/>
      <c r="J534" s="976"/>
      <c r="K534" s="976"/>
      <c r="L534" s="976"/>
      <c r="M534" s="976"/>
      <c r="N534" s="976"/>
      <c r="O534" s="976"/>
      <c r="P534" s="976"/>
      <c r="Q534" s="976"/>
      <c r="R534" s="976"/>
      <c r="S534" s="976"/>
      <c r="T534" s="976"/>
      <c r="U534" s="976"/>
      <c r="V534" s="976"/>
      <c r="W534" s="976"/>
      <c r="X534" s="976"/>
      <c r="Y534" s="976"/>
      <c r="Z534" s="976"/>
    </row>
    <row r="535" spans="1:26" ht="15" x14ac:dyDescent="0.25">
      <c r="A535" s="976"/>
      <c r="B535" s="976"/>
      <c r="C535" s="976"/>
      <c r="D535" s="976"/>
      <c r="E535" s="976"/>
      <c r="F535" s="976"/>
      <c r="G535" s="976"/>
      <c r="H535" s="976"/>
      <c r="I535" s="976"/>
      <c r="J535" s="976"/>
      <c r="K535" s="976"/>
      <c r="L535" s="976"/>
      <c r="M535" s="976"/>
      <c r="N535" s="976"/>
      <c r="O535" s="976"/>
      <c r="P535" s="976"/>
      <c r="Q535" s="976"/>
      <c r="R535" s="976"/>
      <c r="S535" s="976"/>
      <c r="T535" s="976"/>
      <c r="U535" s="976"/>
      <c r="V535" s="976"/>
      <c r="W535" s="976"/>
      <c r="X535" s="976"/>
      <c r="Y535" s="976"/>
      <c r="Z535" s="976"/>
    </row>
    <row r="536" spans="1:26" ht="15" x14ac:dyDescent="0.25">
      <c r="A536" s="976"/>
      <c r="B536" s="976"/>
      <c r="C536" s="976"/>
      <c r="D536" s="976"/>
      <c r="E536" s="976"/>
      <c r="F536" s="976"/>
      <c r="G536" s="976"/>
      <c r="H536" s="976"/>
      <c r="I536" s="976"/>
      <c r="J536" s="976"/>
      <c r="K536" s="976"/>
      <c r="L536" s="976"/>
      <c r="M536" s="976"/>
      <c r="N536" s="976"/>
      <c r="O536" s="976"/>
      <c r="P536" s="976"/>
      <c r="Q536" s="976"/>
      <c r="R536" s="976"/>
      <c r="S536" s="976"/>
      <c r="T536" s="976"/>
      <c r="U536" s="976"/>
      <c r="V536" s="976"/>
      <c r="W536" s="976"/>
      <c r="X536" s="976"/>
      <c r="Y536" s="976"/>
      <c r="Z536" s="976"/>
    </row>
    <row r="537" spans="1:26" ht="15" x14ac:dyDescent="0.25">
      <c r="A537" s="976"/>
      <c r="B537" s="976"/>
      <c r="C537" s="976"/>
      <c r="D537" s="976"/>
      <c r="E537" s="976"/>
      <c r="F537" s="976"/>
      <c r="G537" s="976"/>
      <c r="H537" s="976"/>
      <c r="I537" s="976"/>
      <c r="J537" s="976"/>
      <c r="K537" s="976"/>
      <c r="L537" s="976"/>
      <c r="M537" s="976"/>
      <c r="N537" s="976"/>
      <c r="O537" s="976"/>
      <c r="P537" s="976"/>
      <c r="Q537" s="976"/>
      <c r="R537" s="976"/>
      <c r="S537" s="976"/>
      <c r="T537" s="976"/>
      <c r="U537" s="976"/>
      <c r="V537" s="976"/>
      <c r="W537" s="976"/>
      <c r="X537" s="976"/>
      <c r="Y537" s="976"/>
      <c r="Z537" s="976"/>
    </row>
    <row r="538" spans="1:26" ht="15" x14ac:dyDescent="0.25">
      <c r="A538" s="976"/>
      <c r="B538" s="976"/>
      <c r="C538" s="976"/>
      <c r="D538" s="976"/>
      <c r="E538" s="976"/>
      <c r="F538" s="976"/>
      <c r="G538" s="976"/>
      <c r="H538" s="976"/>
      <c r="I538" s="976"/>
      <c r="J538" s="976"/>
      <c r="K538" s="976"/>
      <c r="L538" s="976"/>
      <c r="M538" s="976"/>
      <c r="N538" s="976"/>
      <c r="O538" s="976"/>
      <c r="P538" s="976"/>
      <c r="Q538" s="976"/>
      <c r="R538" s="976"/>
      <c r="S538" s="976"/>
      <c r="T538" s="976"/>
      <c r="U538" s="976"/>
      <c r="V538" s="976"/>
      <c r="W538" s="976"/>
      <c r="X538" s="976"/>
      <c r="Y538" s="976"/>
      <c r="Z538" s="976"/>
    </row>
    <row r="539" spans="1:26" ht="15" x14ac:dyDescent="0.25">
      <c r="A539" s="976"/>
      <c r="B539" s="976"/>
      <c r="C539" s="976"/>
      <c r="D539" s="976"/>
      <c r="E539" s="976"/>
      <c r="F539" s="976"/>
      <c r="G539" s="976"/>
      <c r="H539" s="976"/>
      <c r="I539" s="976"/>
      <c r="J539" s="976"/>
      <c r="K539" s="976"/>
      <c r="L539" s="976"/>
      <c r="M539" s="976"/>
      <c r="N539" s="976"/>
      <c r="O539" s="976"/>
      <c r="P539" s="976"/>
      <c r="Q539" s="976"/>
      <c r="R539" s="976"/>
      <c r="S539" s="976"/>
      <c r="T539" s="976"/>
      <c r="U539" s="976"/>
      <c r="V539" s="976"/>
      <c r="W539" s="976"/>
      <c r="X539" s="976"/>
      <c r="Y539" s="976"/>
      <c r="Z539" s="976"/>
    </row>
    <row r="540" spans="1:26" ht="15" x14ac:dyDescent="0.25">
      <c r="A540" s="976"/>
      <c r="B540" s="976"/>
      <c r="C540" s="976"/>
      <c r="D540" s="976"/>
      <c r="E540" s="976"/>
      <c r="F540" s="976"/>
      <c r="G540" s="976"/>
      <c r="H540" s="976"/>
      <c r="I540" s="976"/>
      <c r="J540" s="976"/>
      <c r="K540" s="976"/>
      <c r="L540" s="976"/>
      <c r="M540" s="976"/>
      <c r="N540" s="976"/>
      <c r="O540" s="976"/>
      <c r="P540" s="976"/>
      <c r="Q540" s="976"/>
      <c r="R540" s="976"/>
      <c r="S540" s="976"/>
      <c r="T540" s="976"/>
      <c r="U540" s="976"/>
      <c r="V540" s="976"/>
      <c r="W540" s="976"/>
      <c r="X540" s="976"/>
      <c r="Y540" s="976"/>
      <c r="Z540" s="976"/>
    </row>
    <row r="541" spans="1:26" ht="15" x14ac:dyDescent="0.25">
      <c r="A541" s="976"/>
      <c r="B541" s="976"/>
      <c r="C541" s="976"/>
      <c r="D541" s="976"/>
      <c r="E541" s="976"/>
      <c r="F541" s="976"/>
      <c r="G541" s="976"/>
      <c r="H541" s="976"/>
      <c r="I541" s="976"/>
      <c r="J541" s="976"/>
      <c r="K541" s="976"/>
      <c r="L541" s="976"/>
      <c r="M541" s="976"/>
      <c r="N541" s="976"/>
      <c r="O541" s="976"/>
      <c r="P541" s="976"/>
      <c r="Q541" s="976"/>
      <c r="R541" s="976"/>
      <c r="S541" s="976"/>
      <c r="T541" s="976"/>
      <c r="U541" s="976"/>
      <c r="V541" s="976"/>
      <c r="W541" s="976"/>
      <c r="X541" s="976"/>
      <c r="Y541" s="976"/>
      <c r="Z541" s="976"/>
    </row>
    <row r="542" spans="1:26" ht="15" x14ac:dyDescent="0.25">
      <c r="A542" s="976"/>
      <c r="B542" s="976"/>
      <c r="C542" s="976"/>
      <c r="D542" s="976"/>
      <c r="E542" s="976"/>
      <c r="F542" s="976"/>
      <c r="G542" s="976"/>
      <c r="H542" s="976"/>
      <c r="I542" s="976"/>
      <c r="J542" s="976"/>
      <c r="K542" s="976"/>
      <c r="L542" s="976"/>
      <c r="M542" s="976"/>
      <c r="N542" s="976"/>
      <c r="O542" s="976"/>
      <c r="P542" s="976"/>
      <c r="Q542" s="976"/>
      <c r="R542" s="976"/>
      <c r="S542" s="976"/>
      <c r="T542" s="976"/>
      <c r="U542" s="976"/>
      <c r="V542" s="976"/>
      <c r="W542" s="976"/>
      <c r="X542" s="976"/>
      <c r="Y542" s="976"/>
      <c r="Z542" s="976"/>
    </row>
    <row r="543" spans="1:26" ht="15" x14ac:dyDescent="0.25">
      <c r="A543" s="976"/>
      <c r="B543" s="976"/>
      <c r="C543" s="976"/>
      <c r="D543" s="976"/>
      <c r="E543" s="976"/>
      <c r="F543" s="976"/>
      <c r="G543" s="976"/>
      <c r="H543" s="976"/>
      <c r="I543" s="976"/>
      <c r="J543" s="976"/>
      <c r="K543" s="976"/>
      <c r="L543" s="976"/>
      <c r="M543" s="976"/>
      <c r="N543" s="976"/>
      <c r="O543" s="976"/>
      <c r="P543" s="976"/>
      <c r="Q543" s="976"/>
      <c r="R543" s="976"/>
      <c r="S543" s="976"/>
      <c r="T543" s="976"/>
      <c r="U543" s="976"/>
      <c r="V543" s="976"/>
      <c r="W543" s="976"/>
      <c r="X543" s="976"/>
      <c r="Y543" s="976"/>
      <c r="Z543" s="976"/>
    </row>
    <row r="544" spans="1:26" ht="15" x14ac:dyDescent="0.25">
      <c r="A544" s="976"/>
      <c r="B544" s="976"/>
      <c r="C544" s="976"/>
      <c r="D544" s="976"/>
      <c r="E544" s="976"/>
      <c r="F544" s="976"/>
      <c r="G544" s="976"/>
      <c r="H544" s="976"/>
      <c r="I544" s="976"/>
      <c r="J544" s="976"/>
      <c r="K544" s="976"/>
      <c r="L544" s="976"/>
      <c r="M544" s="976"/>
      <c r="N544" s="976"/>
      <c r="O544" s="976"/>
      <c r="P544" s="976"/>
      <c r="Q544" s="976"/>
      <c r="R544" s="976"/>
      <c r="S544" s="976"/>
      <c r="T544" s="976"/>
      <c r="U544" s="976"/>
      <c r="V544" s="976"/>
      <c r="W544" s="976"/>
      <c r="X544" s="976"/>
      <c r="Y544" s="976"/>
      <c r="Z544" s="976"/>
    </row>
    <row r="545" spans="1:26" ht="15" x14ac:dyDescent="0.25">
      <c r="A545" s="976"/>
      <c r="B545" s="976"/>
      <c r="C545" s="976"/>
      <c r="D545" s="976"/>
      <c r="E545" s="976"/>
      <c r="F545" s="976"/>
      <c r="G545" s="976"/>
      <c r="H545" s="976"/>
      <c r="I545" s="976"/>
      <c r="J545" s="976"/>
      <c r="K545" s="976"/>
      <c r="L545" s="976"/>
      <c r="M545" s="976"/>
      <c r="N545" s="976"/>
      <c r="O545" s="976"/>
      <c r="P545" s="976"/>
      <c r="Q545" s="976"/>
      <c r="R545" s="976"/>
      <c r="S545" s="976"/>
      <c r="T545" s="976"/>
      <c r="U545" s="976"/>
      <c r="V545" s="976"/>
      <c r="W545" s="976"/>
      <c r="X545" s="976"/>
      <c r="Y545" s="976"/>
      <c r="Z545" s="976"/>
    </row>
    <row r="546" spans="1:26" ht="15" x14ac:dyDescent="0.25">
      <c r="A546" s="976"/>
      <c r="B546" s="976"/>
      <c r="C546" s="976"/>
      <c r="D546" s="976"/>
      <c r="E546" s="976"/>
      <c r="F546" s="976"/>
      <c r="G546" s="976"/>
      <c r="H546" s="976"/>
      <c r="I546" s="976"/>
      <c r="J546" s="976"/>
      <c r="K546" s="976"/>
      <c r="L546" s="976"/>
      <c r="M546" s="976"/>
      <c r="N546" s="976"/>
      <c r="O546" s="976"/>
      <c r="P546" s="976"/>
      <c r="Q546" s="976"/>
      <c r="R546" s="976"/>
      <c r="S546" s="976"/>
      <c r="T546" s="976"/>
      <c r="U546" s="976"/>
      <c r="V546" s="976"/>
      <c r="W546" s="976"/>
      <c r="X546" s="976"/>
      <c r="Y546" s="976"/>
      <c r="Z546" s="976"/>
    </row>
    <row r="547" spans="1:26" ht="15" x14ac:dyDescent="0.25">
      <c r="A547" s="976"/>
      <c r="B547" s="976"/>
      <c r="C547" s="976"/>
      <c r="D547" s="976"/>
      <c r="E547" s="976"/>
      <c r="F547" s="976"/>
      <c r="G547" s="976"/>
      <c r="H547" s="976"/>
      <c r="I547" s="976"/>
      <c r="J547" s="976"/>
      <c r="K547" s="976"/>
      <c r="L547" s="976"/>
      <c r="M547" s="976"/>
      <c r="N547" s="976"/>
      <c r="O547" s="976"/>
      <c r="P547" s="976"/>
      <c r="Q547" s="976"/>
      <c r="R547" s="976"/>
      <c r="S547" s="976"/>
      <c r="T547" s="976"/>
      <c r="U547" s="976"/>
      <c r="V547" s="976"/>
      <c r="W547" s="976"/>
      <c r="X547" s="976"/>
      <c r="Y547" s="976"/>
      <c r="Z547" s="976"/>
    </row>
    <row r="548" spans="1:26" ht="15" x14ac:dyDescent="0.25">
      <c r="A548" s="976"/>
      <c r="B548" s="976"/>
      <c r="C548" s="976"/>
      <c r="D548" s="976"/>
      <c r="E548" s="976"/>
      <c r="F548" s="976"/>
      <c r="G548" s="976"/>
      <c r="H548" s="976"/>
      <c r="I548" s="976"/>
      <c r="J548" s="976"/>
      <c r="K548" s="976"/>
      <c r="L548" s="976"/>
      <c r="M548" s="976"/>
      <c r="N548" s="976"/>
      <c r="O548" s="976"/>
      <c r="P548" s="976"/>
      <c r="Q548" s="976"/>
      <c r="R548" s="976"/>
      <c r="S548" s="976"/>
      <c r="T548" s="976"/>
      <c r="U548" s="976"/>
      <c r="V548" s="976"/>
      <c r="W548" s="976"/>
      <c r="X548" s="976"/>
      <c r="Y548" s="976"/>
      <c r="Z548" s="976"/>
    </row>
    <row r="549" spans="1:26" ht="15" x14ac:dyDescent="0.25">
      <c r="A549" s="976"/>
      <c r="B549" s="976"/>
      <c r="C549" s="976"/>
      <c r="D549" s="976"/>
      <c r="E549" s="976"/>
      <c r="F549" s="976"/>
      <c r="G549" s="976"/>
      <c r="H549" s="976"/>
      <c r="I549" s="976"/>
      <c r="J549" s="976"/>
      <c r="K549" s="976"/>
      <c r="L549" s="976"/>
      <c r="M549" s="976"/>
      <c r="N549" s="976"/>
      <c r="O549" s="976"/>
      <c r="P549" s="976"/>
      <c r="Q549" s="976"/>
      <c r="R549" s="976"/>
      <c r="S549" s="976"/>
      <c r="T549" s="976"/>
      <c r="U549" s="976"/>
      <c r="V549" s="976"/>
      <c r="W549" s="976"/>
      <c r="X549" s="976"/>
      <c r="Y549" s="976"/>
      <c r="Z549" s="976"/>
    </row>
    <row r="550" spans="1:26" ht="15" x14ac:dyDescent="0.25">
      <c r="A550" s="976"/>
      <c r="B550" s="976"/>
      <c r="C550" s="976"/>
      <c r="D550" s="976"/>
      <c r="E550" s="976"/>
      <c r="F550" s="976"/>
      <c r="G550" s="976"/>
      <c r="H550" s="976"/>
      <c r="I550" s="976"/>
      <c r="J550" s="976"/>
      <c r="K550" s="976"/>
      <c r="L550" s="976"/>
      <c r="M550" s="976"/>
      <c r="N550" s="976"/>
      <c r="O550" s="976"/>
      <c r="P550" s="976"/>
      <c r="Q550" s="976"/>
      <c r="R550" s="976"/>
      <c r="S550" s="976"/>
      <c r="T550" s="976"/>
      <c r="U550" s="976"/>
      <c r="V550" s="976"/>
      <c r="W550" s="976"/>
      <c r="X550" s="976"/>
      <c r="Y550" s="976"/>
      <c r="Z550" s="976"/>
    </row>
    <row r="551" spans="1:26" ht="15" x14ac:dyDescent="0.25">
      <c r="A551" s="976"/>
      <c r="B551" s="976"/>
      <c r="C551" s="976"/>
      <c r="D551" s="976"/>
      <c r="E551" s="976"/>
      <c r="F551" s="976"/>
      <c r="G551" s="976"/>
      <c r="H551" s="976"/>
      <c r="I551" s="976"/>
      <c r="J551" s="976"/>
      <c r="K551" s="976"/>
      <c r="L551" s="976"/>
      <c r="M551" s="976"/>
      <c r="N551" s="976"/>
      <c r="O551" s="976"/>
      <c r="P551" s="976"/>
      <c r="Q551" s="976"/>
      <c r="R551" s="976"/>
      <c r="S551" s="976"/>
      <c r="T551" s="976"/>
      <c r="U551" s="976"/>
      <c r="V551" s="976"/>
      <c r="W551" s="976"/>
      <c r="X551" s="976"/>
      <c r="Y551" s="976"/>
      <c r="Z551" s="976"/>
    </row>
    <row r="552" spans="1:26" ht="15" x14ac:dyDescent="0.25">
      <c r="A552" s="976"/>
      <c r="B552" s="976"/>
      <c r="C552" s="976"/>
      <c r="D552" s="976"/>
      <c r="E552" s="976"/>
      <c r="F552" s="976"/>
      <c r="G552" s="976"/>
      <c r="H552" s="976"/>
      <c r="I552" s="976"/>
      <c r="J552" s="976"/>
      <c r="K552" s="976"/>
      <c r="L552" s="976"/>
      <c r="M552" s="976"/>
      <c r="N552" s="976"/>
      <c r="O552" s="976"/>
      <c r="P552" s="976"/>
      <c r="Q552" s="976"/>
      <c r="R552" s="976"/>
      <c r="S552" s="976"/>
      <c r="T552" s="976"/>
      <c r="U552" s="976"/>
      <c r="V552" s="976"/>
      <c r="W552" s="976"/>
      <c r="X552" s="976"/>
      <c r="Y552" s="976"/>
      <c r="Z552" s="976"/>
    </row>
    <row r="553" spans="1:26" ht="15" x14ac:dyDescent="0.25">
      <c r="A553" s="976"/>
      <c r="B553" s="976"/>
      <c r="C553" s="976"/>
      <c r="D553" s="976"/>
      <c r="E553" s="976"/>
      <c r="F553" s="976"/>
      <c r="G553" s="976"/>
      <c r="H553" s="976"/>
      <c r="I553" s="976"/>
      <c r="J553" s="976"/>
      <c r="K553" s="976"/>
      <c r="L553" s="976"/>
      <c r="M553" s="976"/>
      <c r="N553" s="976"/>
      <c r="O553" s="976"/>
      <c r="P553" s="976"/>
      <c r="Q553" s="976"/>
      <c r="R553" s="976"/>
      <c r="S553" s="976"/>
      <c r="T553" s="976"/>
      <c r="U553" s="976"/>
      <c r="V553" s="976"/>
      <c r="W553" s="976"/>
      <c r="X553" s="976"/>
      <c r="Y553" s="976"/>
      <c r="Z553" s="976"/>
    </row>
    <row r="554" spans="1:26" ht="15" x14ac:dyDescent="0.25">
      <c r="A554" s="976"/>
      <c r="B554" s="976"/>
      <c r="C554" s="976"/>
      <c r="D554" s="976"/>
      <c r="E554" s="976"/>
      <c r="F554" s="976"/>
      <c r="G554" s="976"/>
      <c r="H554" s="976"/>
      <c r="I554" s="976"/>
      <c r="J554" s="976"/>
      <c r="K554" s="976"/>
      <c r="L554" s="976"/>
      <c r="M554" s="976"/>
      <c r="N554" s="976"/>
      <c r="O554" s="976"/>
      <c r="P554" s="976"/>
      <c r="Q554" s="976"/>
      <c r="R554" s="976"/>
      <c r="S554" s="976"/>
      <c r="T554" s="976"/>
      <c r="U554" s="976"/>
      <c r="V554" s="976"/>
      <c r="W554" s="976"/>
      <c r="X554" s="976"/>
      <c r="Y554" s="976"/>
      <c r="Z554" s="976"/>
    </row>
    <row r="555" spans="1:26" ht="15" x14ac:dyDescent="0.25">
      <c r="A555" s="976"/>
      <c r="B555" s="976"/>
      <c r="C555" s="976"/>
      <c r="D555" s="976"/>
      <c r="E555" s="976"/>
      <c r="F555" s="976"/>
      <c r="G555" s="976"/>
      <c r="H555" s="976"/>
      <c r="I555" s="976"/>
      <c r="J555" s="976"/>
      <c r="K555" s="976"/>
      <c r="L555" s="976"/>
      <c r="M555" s="976"/>
      <c r="N555" s="976"/>
      <c r="O555" s="976"/>
      <c r="P555" s="976"/>
      <c r="Q555" s="976"/>
      <c r="R555" s="976"/>
      <c r="S555" s="976"/>
      <c r="T555" s="976"/>
      <c r="U555" s="976"/>
      <c r="V555" s="976"/>
      <c r="W555" s="976"/>
      <c r="X555" s="976"/>
      <c r="Y555" s="976"/>
      <c r="Z555" s="976"/>
    </row>
    <row r="556" spans="1:26" ht="15" x14ac:dyDescent="0.25">
      <c r="A556" s="976"/>
      <c r="B556" s="976"/>
      <c r="C556" s="976"/>
      <c r="D556" s="976"/>
      <c r="E556" s="976"/>
      <c r="F556" s="976"/>
      <c r="G556" s="976"/>
      <c r="H556" s="976"/>
      <c r="I556" s="976"/>
      <c r="J556" s="976"/>
      <c r="K556" s="976"/>
      <c r="L556" s="976"/>
      <c r="M556" s="976"/>
      <c r="N556" s="976"/>
      <c r="O556" s="976"/>
      <c r="P556" s="976"/>
      <c r="Q556" s="976"/>
      <c r="R556" s="976"/>
      <c r="S556" s="976"/>
      <c r="T556" s="976"/>
      <c r="U556" s="976"/>
      <c r="V556" s="976"/>
      <c r="W556" s="976"/>
      <c r="X556" s="976"/>
      <c r="Y556" s="976"/>
      <c r="Z556" s="976"/>
    </row>
    <row r="557" spans="1:26" ht="15" x14ac:dyDescent="0.25">
      <c r="A557" s="976"/>
      <c r="B557" s="976"/>
      <c r="C557" s="976"/>
      <c r="D557" s="976"/>
      <c r="E557" s="976"/>
      <c r="F557" s="976"/>
      <c r="G557" s="976"/>
      <c r="H557" s="976"/>
      <c r="I557" s="976"/>
      <c r="J557" s="976"/>
      <c r="K557" s="976"/>
      <c r="L557" s="976"/>
      <c r="M557" s="976"/>
      <c r="N557" s="976"/>
      <c r="O557" s="976"/>
      <c r="P557" s="976"/>
      <c r="Q557" s="976"/>
      <c r="R557" s="976"/>
      <c r="S557" s="976"/>
      <c r="T557" s="976"/>
      <c r="U557" s="976"/>
      <c r="V557" s="976"/>
      <c r="W557" s="976"/>
      <c r="X557" s="976"/>
      <c r="Y557" s="976"/>
      <c r="Z557" s="976"/>
    </row>
    <row r="558" spans="1:26" ht="15" x14ac:dyDescent="0.25">
      <c r="A558" s="976"/>
      <c r="B558" s="976"/>
      <c r="C558" s="976"/>
      <c r="D558" s="976"/>
      <c r="E558" s="976"/>
      <c r="F558" s="976"/>
      <c r="G558" s="976"/>
      <c r="H558" s="976"/>
      <c r="I558" s="976"/>
      <c r="J558" s="976"/>
      <c r="K558" s="976"/>
      <c r="L558" s="976"/>
      <c r="M558" s="976"/>
      <c r="N558" s="976"/>
      <c r="O558" s="976"/>
      <c r="P558" s="976"/>
      <c r="Q558" s="976"/>
      <c r="R558" s="976"/>
      <c r="S558" s="976"/>
      <c r="T558" s="976"/>
      <c r="U558" s="976"/>
      <c r="V558" s="976"/>
      <c r="W558" s="976"/>
      <c r="X558" s="976"/>
      <c r="Y558" s="976"/>
      <c r="Z558" s="976"/>
    </row>
    <row r="559" spans="1:26" ht="15" x14ac:dyDescent="0.25">
      <c r="A559" s="976"/>
      <c r="B559" s="976"/>
      <c r="C559" s="976"/>
      <c r="D559" s="976"/>
      <c r="E559" s="976"/>
      <c r="F559" s="976"/>
      <c r="G559" s="976"/>
      <c r="H559" s="976"/>
      <c r="I559" s="976"/>
      <c r="J559" s="976"/>
      <c r="K559" s="976"/>
      <c r="L559" s="976"/>
      <c r="M559" s="976"/>
      <c r="N559" s="976"/>
      <c r="O559" s="976"/>
      <c r="P559" s="976"/>
      <c r="Q559" s="976"/>
      <c r="R559" s="976"/>
      <c r="S559" s="976"/>
      <c r="T559" s="976"/>
      <c r="U559" s="976"/>
      <c r="V559" s="976"/>
      <c r="W559" s="976"/>
      <c r="X559" s="976"/>
      <c r="Y559" s="976"/>
      <c r="Z559" s="976"/>
    </row>
    <row r="560" spans="1:26" ht="15" x14ac:dyDescent="0.25">
      <c r="A560" s="976"/>
      <c r="B560" s="976"/>
      <c r="C560" s="976"/>
      <c r="D560" s="976"/>
      <c r="E560" s="976"/>
      <c r="F560" s="976"/>
      <c r="G560" s="976"/>
      <c r="H560" s="976"/>
      <c r="I560" s="976"/>
      <c r="J560" s="976"/>
      <c r="K560" s="976"/>
      <c r="L560" s="976"/>
      <c r="M560" s="976"/>
      <c r="N560" s="976"/>
      <c r="O560" s="976"/>
      <c r="P560" s="976"/>
      <c r="Q560" s="976"/>
      <c r="R560" s="976"/>
      <c r="S560" s="976"/>
      <c r="T560" s="976"/>
      <c r="U560" s="976"/>
      <c r="V560" s="976"/>
      <c r="W560" s="976"/>
      <c r="X560" s="976"/>
      <c r="Y560" s="976"/>
      <c r="Z560" s="976"/>
    </row>
    <row r="561" spans="1:26" ht="15" x14ac:dyDescent="0.25">
      <c r="A561" s="976"/>
      <c r="B561" s="976"/>
      <c r="C561" s="976"/>
      <c r="D561" s="976"/>
      <c r="E561" s="976"/>
      <c r="F561" s="976"/>
      <c r="G561" s="976"/>
      <c r="H561" s="976"/>
      <c r="I561" s="976"/>
      <c r="J561" s="976"/>
      <c r="K561" s="976"/>
      <c r="L561" s="976"/>
      <c r="M561" s="976"/>
      <c r="N561" s="976"/>
      <c r="O561" s="976"/>
      <c r="P561" s="976"/>
      <c r="Q561" s="976"/>
      <c r="R561" s="976"/>
      <c r="S561" s="976"/>
      <c r="T561" s="976"/>
      <c r="U561" s="976"/>
      <c r="V561" s="976"/>
      <c r="W561" s="976"/>
      <c r="X561" s="976"/>
      <c r="Y561" s="976"/>
      <c r="Z561" s="976"/>
    </row>
    <row r="562" spans="1:26" ht="15" x14ac:dyDescent="0.25">
      <c r="A562" s="976"/>
      <c r="B562" s="976"/>
      <c r="C562" s="976"/>
      <c r="D562" s="976"/>
      <c r="E562" s="976"/>
      <c r="F562" s="976"/>
      <c r="G562" s="976"/>
      <c r="H562" s="976"/>
      <c r="I562" s="976"/>
      <c r="J562" s="976"/>
      <c r="K562" s="976"/>
      <c r="L562" s="976"/>
      <c r="M562" s="976"/>
      <c r="N562" s="976"/>
      <c r="O562" s="976"/>
      <c r="P562" s="976"/>
      <c r="Q562" s="976"/>
      <c r="R562" s="976"/>
      <c r="S562" s="976"/>
      <c r="T562" s="976"/>
      <c r="U562" s="976"/>
      <c r="V562" s="976"/>
      <c r="W562" s="976"/>
      <c r="X562" s="976"/>
      <c r="Y562" s="976"/>
      <c r="Z562" s="976"/>
    </row>
    <row r="563" spans="1:26" ht="15" x14ac:dyDescent="0.25">
      <c r="A563" s="976"/>
      <c r="B563" s="976"/>
      <c r="C563" s="976"/>
      <c r="D563" s="976"/>
      <c r="E563" s="976"/>
      <c r="F563" s="976"/>
      <c r="G563" s="976"/>
      <c r="H563" s="976"/>
      <c r="I563" s="976"/>
      <c r="J563" s="976"/>
      <c r="K563" s="976"/>
      <c r="L563" s="976"/>
      <c r="M563" s="976"/>
      <c r="N563" s="976"/>
      <c r="O563" s="976"/>
      <c r="P563" s="976"/>
      <c r="Q563" s="976"/>
      <c r="R563" s="976"/>
      <c r="S563" s="976"/>
      <c r="T563" s="976"/>
      <c r="U563" s="976"/>
      <c r="V563" s="976"/>
      <c r="W563" s="976"/>
      <c r="X563" s="976"/>
      <c r="Y563" s="976"/>
      <c r="Z563" s="976"/>
    </row>
    <row r="564" spans="1:26" ht="15" x14ac:dyDescent="0.25">
      <c r="A564" s="976"/>
      <c r="B564" s="976"/>
      <c r="C564" s="976"/>
      <c r="D564" s="976"/>
      <c r="E564" s="976"/>
      <c r="F564" s="976"/>
      <c r="G564" s="976"/>
      <c r="H564" s="976"/>
      <c r="I564" s="976"/>
      <c r="J564" s="976"/>
      <c r="K564" s="976"/>
      <c r="L564" s="976"/>
      <c r="M564" s="976"/>
      <c r="N564" s="976"/>
      <c r="O564" s="976"/>
      <c r="P564" s="976"/>
      <c r="Q564" s="976"/>
      <c r="R564" s="976"/>
      <c r="S564" s="976"/>
      <c r="T564" s="976"/>
      <c r="U564" s="976"/>
      <c r="V564" s="976"/>
      <c r="W564" s="976"/>
      <c r="X564" s="976"/>
      <c r="Y564" s="976"/>
      <c r="Z564" s="976"/>
    </row>
    <row r="565" spans="1:26" ht="15" x14ac:dyDescent="0.25">
      <c r="A565" s="976"/>
      <c r="B565" s="976"/>
      <c r="C565" s="976"/>
      <c r="D565" s="976"/>
      <c r="E565" s="976"/>
      <c r="F565" s="976"/>
      <c r="G565" s="976"/>
      <c r="H565" s="976"/>
      <c r="I565" s="976"/>
      <c r="J565" s="976"/>
      <c r="K565" s="976"/>
      <c r="L565" s="976"/>
      <c r="M565" s="976"/>
      <c r="N565" s="976"/>
      <c r="O565" s="976"/>
      <c r="P565" s="976"/>
      <c r="Q565" s="976"/>
      <c r="R565" s="976"/>
      <c r="S565" s="976"/>
      <c r="T565" s="976"/>
      <c r="U565" s="976"/>
      <c r="V565" s="976"/>
      <c r="W565" s="976"/>
      <c r="X565" s="976"/>
      <c r="Y565" s="976"/>
      <c r="Z565" s="976"/>
    </row>
    <row r="566" spans="1:26" ht="15" x14ac:dyDescent="0.25">
      <c r="A566" s="976"/>
      <c r="B566" s="976"/>
      <c r="C566" s="976"/>
      <c r="D566" s="976"/>
      <c r="E566" s="976"/>
      <c r="F566" s="976"/>
      <c r="G566" s="976"/>
      <c r="H566" s="976"/>
      <c r="I566" s="976"/>
      <c r="J566" s="976"/>
      <c r="K566" s="976"/>
      <c r="L566" s="976"/>
      <c r="M566" s="976"/>
      <c r="N566" s="976"/>
      <c r="O566" s="976"/>
      <c r="P566" s="976"/>
      <c r="Q566" s="976"/>
      <c r="R566" s="976"/>
      <c r="S566" s="976"/>
      <c r="T566" s="976"/>
      <c r="U566" s="976"/>
      <c r="V566" s="976"/>
      <c r="W566" s="976"/>
      <c r="X566" s="976"/>
      <c r="Y566" s="976"/>
      <c r="Z566" s="976"/>
    </row>
    <row r="567" spans="1:26" ht="15" x14ac:dyDescent="0.25">
      <c r="A567" s="976"/>
      <c r="B567" s="976"/>
      <c r="C567" s="976"/>
      <c r="D567" s="976"/>
      <c r="E567" s="976"/>
      <c r="F567" s="976"/>
      <c r="G567" s="976"/>
      <c r="H567" s="976"/>
      <c r="I567" s="976"/>
      <c r="J567" s="976"/>
      <c r="K567" s="976"/>
      <c r="L567" s="976"/>
      <c r="M567" s="976"/>
      <c r="N567" s="976"/>
      <c r="O567" s="976"/>
      <c r="P567" s="976"/>
      <c r="Q567" s="976"/>
      <c r="R567" s="976"/>
      <c r="S567" s="976"/>
      <c r="T567" s="976"/>
      <c r="U567" s="976"/>
      <c r="V567" s="976"/>
      <c r="W567" s="976"/>
      <c r="X567" s="976"/>
      <c r="Y567" s="976"/>
      <c r="Z567" s="976"/>
    </row>
    <row r="568" spans="1:26" ht="15" x14ac:dyDescent="0.25">
      <c r="A568" s="976"/>
      <c r="B568" s="976"/>
      <c r="C568" s="976"/>
      <c r="D568" s="976"/>
      <c r="E568" s="976"/>
      <c r="F568" s="976"/>
      <c r="G568" s="976"/>
      <c r="H568" s="976"/>
      <c r="I568" s="976"/>
      <c r="J568" s="976"/>
      <c r="K568" s="976"/>
      <c r="L568" s="976"/>
      <c r="M568" s="976"/>
      <c r="N568" s="976"/>
      <c r="O568" s="976"/>
      <c r="P568" s="976"/>
      <c r="Q568" s="976"/>
      <c r="R568" s="976"/>
      <c r="S568" s="976"/>
      <c r="T568" s="976"/>
      <c r="U568" s="976"/>
      <c r="V568" s="976"/>
      <c r="W568" s="976"/>
      <c r="X568" s="976"/>
      <c r="Y568" s="976"/>
      <c r="Z568" s="976"/>
    </row>
    <row r="569" spans="1:26" ht="15" x14ac:dyDescent="0.25">
      <c r="A569" s="976"/>
      <c r="B569" s="976"/>
      <c r="C569" s="976"/>
      <c r="D569" s="976"/>
      <c r="E569" s="976"/>
      <c r="F569" s="976"/>
      <c r="G569" s="976"/>
      <c r="H569" s="976"/>
      <c r="I569" s="976"/>
      <c r="J569" s="976"/>
      <c r="K569" s="976"/>
      <c r="L569" s="976"/>
      <c r="M569" s="976"/>
      <c r="N569" s="976"/>
      <c r="O569" s="976"/>
      <c r="P569" s="976"/>
      <c r="Q569" s="976"/>
      <c r="R569" s="976"/>
      <c r="S569" s="976"/>
      <c r="T569" s="976"/>
      <c r="U569" s="976"/>
      <c r="V569" s="976"/>
      <c r="W569" s="976"/>
      <c r="X569" s="976"/>
      <c r="Y569" s="976"/>
      <c r="Z569" s="976"/>
    </row>
    <row r="570" spans="1:26" ht="15" x14ac:dyDescent="0.25">
      <c r="A570" s="976"/>
      <c r="B570" s="976"/>
      <c r="C570" s="976"/>
      <c r="D570" s="976"/>
      <c r="E570" s="976"/>
      <c r="F570" s="976"/>
      <c r="G570" s="976"/>
      <c r="H570" s="976"/>
      <c r="I570" s="976"/>
      <c r="J570" s="976"/>
      <c r="K570" s="976"/>
      <c r="L570" s="976"/>
      <c r="M570" s="976"/>
      <c r="N570" s="976"/>
      <c r="O570" s="976"/>
      <c r="P570" s="976"/>
      <c r="Q570" s="976"/>
      <c r="R570" s="976"/>
      <c r="S570" s="976"/>
      <c r="T570" s="976"/>
      <c r="U570" s="976"/>
      <c r="V570" s="976"/>
      <c r="W570" s="976"/>
      <c r="X570" s="976"/>
      <c r="Y570" s="976"/>
      <c r="Z570" s="976"/>
    </row>
    <row r="571" spans="1:26" ht="15" x14ac:dyDescent="0.25">
      <c r="A571" s="976"/>
      <c r="B571" s="976"/>
      <c r="C571" s="976"/>
      <c r="D571" s="976"/>
      <c r="E571" s="976"/>
      <c r="F571" s="976"/>
      <c r="G571" s="976"/>
      <c r="H571" s="976"/>
      <c r="I571" s="976"/>
      <c r="J571" s="976"/>
      <c r="K571" s="976"/>
      <c r="L571" s="976"/>
      <c r="M571" s="976"/>
      <c r="N571" s="976"/>
      <c r="O571" s="976"/>
      <c r="P571" s="976"/>
      <c r="Q571" s="976"/>
      <c r="R571" s="976"/>
      <c r="S571" s="976"/>
      <c r="T571" s="976"/>
      <c r="U571" s="976"/>
      <c r="V571" s="976"/>
      <c r="W571" s="976"/>
      <c r="X571" s="976"/>
      <c r="Y571" s="976"/>
      <c r="Z571" s="976"/>
    </row>
    <row r="572" spans="1:26" ht="15" x14ac:dyDescent="0.25">
      <c r="A572" s="976"/>
      <c r="B572" s="976"/>
      <c r="C572" s="976"/>
      <c r="D572" s="976"/>
      <c r="E572" s="976"/>
      <c r="F572" s="976"/>
      <c r="G572" s="976"/>
      <c r="H572" s="976"/>
      <c r="I572" s="976"/>
      <c r="J572" s="976"/>
      <c r="K572" s="976"/>
      <c r="L572" s="976"/>
      <c r="M572" s="976"/>
      <c r="N572" s="976"/>
      <c r="O572" s="976"/>
      <c r="P572" s="976"/>
      <c r="Q572" s="976"/>
      <c r="R572" s="976"/>
      <c r="S572" s="976"/>
      <c r="T572" s="976"/>
      <c r="U572" s="976"/>
      <c r="V572" s="976"/>
      <c r="W572" s="976"/>
      <c r="X572" s="976"/>
      <c r="Y572" s="976"/>
      <c r="Z572" s="976"/>
    </row>
    <row r="573" spans="1:26" ht="15" x14ac:dyDescent="0.25">
      <c r="A573" s="976"/>
      <c r="B573" s="976"/>
      <c r="C573" s="976"/>
      <c r="D573" s="976"/>
      <c r="E573" s="976"/>
      <c r="F573" s="976"/>
      <c r="G573" s="976"/>
      <c r="H573" s="976"/>
      <c r="I573" s="976"/>
      <c r="J573" s="976"/>
      <c r="K573" s="976"/>
      <c r="L573" s="976"/>
      <c r="M573" s="976"/>
      <c r="N573" s="976"/>
      <c r="O573" s="976"/>
      <c r="P573" s="976"/>
      <c r="Q573" s="976"/>
      <c r="R573" s="976"/>
      <c r="S573" s="976"/>
      <c r="T573" s="976"/>
      <c r="U573" s="976"/>
      <c r="V573" s="976"/>
      <c r="W573" s="976"/>
      <c r="X573" s="976"/>
      <c r="Y573" s="976"/>
      <c r="Z573" s="976"/>
    </row>
    <row r="574" spans="1:26" ht="15" x14ac:dyDescent="0.25">
      <c r="A574" s="976"/>
      <c r="B574" s="976"/>
      <c r="C574" s="976"/>
      <c r="D574" s="976"/>
      <c r="E574" s="976"/>
      <c r="F574" s="976"/>
      <c r="G574" s="976"/>
      <c r="H574" s="976"/>
      <c r="I574" s="976"/>
      <c r="J574" s="976"/>
      <c r="K574" s="976"/>
      <c r="L574" s="976"/>
      <c r="M574" s="976"/>
      <c r="N574" s="976"/>
      <c r="O574" s="976"/>
      <c r="P574" s="976"/>
      <c r="Q574" s="976"/>
      <c r="R574" s="976"/>
      <c r="S574" s="976"/>
      <c r="T574" s="976"/>
      <c r="U574" s="976"/>
      <c r="V574" s="976"/>
      <c r="W574" s="976"/>
      <c r="X574" s="976"/>
      <c r="Y574" s="976"/>
      <c r="Z574" s="976"/>
    </row>
    <row r="575" spans="1:26" ht="15" x14ac:dyDescent="0.25">
      <c r="A575" s="976"/>
      <c r="B575" s="976"/>
      <c r="C575" s="976"/>
      <c r="D575" s="976"/>
      <c r="E575" s="976"/>
      <c r="F575" s="976"/>
      <c r="G575" s="976"/>
      <c r="H575" s="976"/>
      <c r="I575" s="976"/>
      <c r="J575" s="976"/>
      <c r="K575" s="976"/>
      <c r="L575" s="976"/>
      <c r="M575" s="976"/>
      <c r="N575" s="976"/>
      <c r="O575" s="976"/>
      <c r="P575" s="976"/>
      <c r="Q575" s="976"/>
      <c r="R575" s="976"/>
      <c r="S575" s="976"/>
      <c r="T575" s="976"/>
      <c r="U575" s="976"/>
      <c r="V575" s="976"/>
      <c r="W575" s="976"/>
      <c r="X575" s="976"/>
      <c r="Y575" s="976"/>
      <c r="Z575" s="976"/>
    </row>
    <row r="576" spans="1:26" ht="15" x14ac:dyDescent="0.25">
      <c r="A576" s="976"/>
      <c r="B576" s="976"/>
      <c r="C576" s="976"/>
      <c r="D576" s="976"/>
      <c r="E576" s="976"/>
      <c r="F576" s="976"/>
      <c r="G576" s="976"/>
      <c r="H576" s="976"/>
      <c r="I576" s="976"/>
      <c r="J576" s="976"/>
      <c r="K576" s="976"/>
      <c r="L576" s="976"/>
      <c r="M576" s="976"/>
      <c r="N576" s="976"/>
      <c r="O576" s="976"/>
      <c r="P576" s="976"/>
      <c r="Q576" s="976"/>
      <c r="R576" s="976"/>
      <c r="S576" s="976"/>
      <c r="T576" s="976"/>
      <c r="U576" s="976"/>
      <c r="V576" s="976"/>
      <c r="W576" s="976"/>
      <c r="X576" s="976"/>
      <c r="Y576" s="976"/>
      <c r="Z576" s="976"/>
    </row>
    <row r="577" spans="1:26" ht="15" x14ac:dyDescent="0.25">
      <c r="A577" s="976"/>
      <c r="B577" s="976"/>
      <c r="C577" s="976"/>
      <c r="D577" s="976"/>
      <c r="E577" s="976"/>
      <c r="F577" s="976"/>
      <c r="G577" s="976"/>
      <c r="H577" s="976"/>
      <c r="I577" s="976"/>
      <c r="J577" s="976"/>
      <c r="K577" s="976"/>
      <c r="L577" s="976"/>
      <c r="M577" s="976"/>
      <c r="N577" s="976"/>
      <c r="O577" s="976"/>
      <c r="P577" s="976"/>
      <c r="Q577" s="976"/>
      <c r="R577" s="976"/>
      <c r="S577" s="976"/>
      <c r="T577" s="976"/>
      <c r="U577" s="976"/>
      <c r="V577" s="976"/>
      <c r="W577" s="976"/>
      <c r="X577" s="976"/>
      <c r="Y577" s="976"/>
      <c r="Z577" s="976"/>
    </row>
    <row r="578" spans="1:26" ht="15" x14ac:dyDescent="0.25">
      <c r="A578" s="976"/>
      <c r="B578" s="976"/>
      <c r="C578" s="976"/>
      <c r="D578" s="976"/>
      <c r="E578" s="976"/>
      <c r="F578" s="976"/>
      <c r="G578" s="976"/>
      <c r="H578" s="976"/>
      <c r="I578" s="976"/>
      <c r="J578" s="976"/>
      <c r="K578" s="976"/>
      <c r="L578" s="976"/>
      <c r="M578" s="976"/>
      <c r="N578" s="976"/>
      <c r="O578" s="976"/>
      <c r="P578" s="976"/>
      <c r="Q578" s="976"/>
      <c r="R578" s="976"/>
      <c r="S578" s="976"/>
      <c r="T578" s="976"/>
      <c r="U578" s="976"/>
      <c r="V578" s="976"/>
      <c r="W578" s="976"/>
      <c r="X578" s="976"/>
      <c r="Y578" s="976"/>
      <c r="Z578" s="976"/>
    </row>
    <row r="579" spans="1:26" ht="15" x14ac:dyDescent="0.25">
      <c r="A579" s="976"/>
      <c r="B579" s="976"/>
      <c r="C579" s="976"/>
      <c r="D579" s="976"/>
      <c r="E579" s="976"/>
      <c r="F579" s="976"/>
      <c r="G579" s="976"/>
      <c r="H579" s="976"/>
      <c r="I579" s="976"/>
      <c r="J579" s="976"/>
      <c r="K579" s="976"/>
      <c r="L579" s="976"/>
      <c r="M579" s="976"/>
      <c r="N579" s="976"/>
      <c r="O579" s="976"/>
      <c r="P579" s="976"/>
      <c r="Q579" s="976"/>
      <c r="R579" s="976"/>
      <c r="S579" s="976"/>
      <c r="T579" s="976"/>
      <c r="U579" s="976"/>
      <c r="V579" s="976"/>
      <c r="W579" s="976"/>
      <c r="X579" s="976"/>
      <c r="Y579" s="976"/>
      <c r="Z579" s="976"/>
    </row>
    <row r="580" spans="1:26" ht="15" x14ac:dyDescent="0.25">
      <c r="A580" s="976"/>
      <c r="B580" s="976"/>
      <c r="C580" s="976"/>
      <c r="D580" s="976"/>
      <c r="E580" s="976"/>
      <c r="F580" s="976"/>
      <c r="G580" s="976"/>
      <c r="H580" s="976"/>
      <c r="I580" s="976"/>
      <c r="J580" s="976"/>
      <c r="K580" s="976"/>
      <c r="L580" s="976"/>
      <c r="M580" s="976"/>
      <c r="N580" s="976"/>
      <c r="O580" s="976"/>
      <c r="P580" s="976"/>
      <c r="Q580" s="976"/>
      <c r="R580" s="976"/>
      <c r="S580" s="976"/>
      <c r="T580" s="976"/>
      <c r="U580" s="976"/>
      <c r="V580" s="976"/>
      <c r="W580" s="976"/>
      <c r="X580" s="976"/>
      <c r="Y580" s="976"/>
      <c r="Z580" s="976"/>
    </row>
    <row r="581" spans="1:26" ht="15" x14ac:dyDescent="0.25">
      <c r="A581" s="976"/>
      <c r="B581" s="976"/>
      <c r="C581" s="976"/>
      <c r="D581" s="976"/>
      <c r="E581" s="976"/>
      <c r="F581" s="976"/>
      <c r="G581" s="976"/>
      <c r="H581" s="976"/>
      <c r="I581" s="976"/>
      <c r="J581" s="976"/>
      <c r="K581" s="976"/>
      <c r="L581" s="976"/>
      <c r="M581" s="976"/>
      <c r="N581" s="976"/>
      <c r="O581" s="976"/>
      <c r="P581" s="976"/>
      <c r="Q581" s="976"/>
      <c r="R581" s="976"/>
      <c r="S581" s="976"/>
      <c r="T581" s="976"/>
      <c r="U581" s="976"/>
      <c r="V581" s="976"/>
      <c r="W581" s="976"/>
      <c r="X581" s="976"/>
      <c r="Y581" s="976"/>
      <c r="Z581" s="976"/>
    </row>
    <row r="582" spans="1:26" ht="15" x14ac:dyDescent="0.25">
      <c r="A582" s="976"/>
      <c r="B582" s="976"/>
      <c r="C582" s="976"/>
      <c r="D582" s="976"/>
      <c r="E582" s="976"/>
      <c r="F582" s="976"/>
      <c r="G582" s="976"/>
      <c r="H582" s="976"/>
      <c r="I582" s="976"/>
      <c r="J582" s="976"/>
      <c r="K582" s="976"/>
      <c r="L582" s="976"/>
      <c r="M582" s="976"/>
      <c r="N582" s="976"/>
      <c r="O582" s="976"/>
      <c r="P582" s="976"/>
      <c r="Q582" s="976"/>
      <c r="R582" s="976"/>
      <c r="S582" s="976"/>
      <c r="T582" s="976"/>
      <c r="U582" s="976"/>
      <c r="V582" s="976"/>
      <c r="W582" s="976"/>
      <c r="X582" s="976"/>
      <c r="Y582" s="976"/>
      <c r="Z582" s="976"/>
    </row>
    <row r="583" spans="1:26" ht="15" x14ac:dyDescent="0.25">
      <c r="A583" s="976"/>
      <c r="B583" s="976"/>
      <c r="C583" s="976"/>
      <c r="D583" s="976"/>
      <c r="E583" s="976"/>
      <c r="F583" s="976"/>
      <c r="G583" s="976"/>
      <c r="H583" s="976"/>
      <c r="I583" s="976"/>
      <c r="J583" s="976"/>
      <c r="K583" s="976"/>
      <c r="L583" s="976"/>
      <c r="M583" s="976"/>
      <c r="N583" s="976"/>
      <c r="O583" s="976"/>
      <c r="P583" s="976"/>
      <c r="Q583" s="976"/>
      <c r="R583" s="976"/>
      <c r="S583" s="976"/>
      <c r="T583" s="976"/>
      <c r="U583" s="976"/>
      <c r="V583" s="976"/>
      <c r="W583" s="976"/>
      <c r="X583" s="976"/>
      <c r="Y583" s="976"/>
      <c r="Z583" s="976"/>
    </row>
    <row r="584" spans="1:26" ht="15" x14ac:dyDescent="0.25">
      <c r="A584" s="976"/>
      <c r="B584" s="976"/>
      <c r="C584" s="976"/>
      <c r="D584" s="976"/>
      <c r="E584" s="976"/>
      <c r="F584" s="976"/>
      <c r="G584" s="976"/>
      <c r="H584" s="976"/>
      <c r="I584" s="976"/>
      <c r="J584" s="976"/>
      <c r="K584" s="976"/>
      <c r="L584" s="976"/>
      <c r="M584" s="976"/>
      <c r="N584" s="976"/>
      <c r="O584" s="976"/>
      <c r="P584" s="976"/>
      <c r="Q584" s="976"/>
      <c r="R584" s="976"/>
      <c r="S584" s="976"/>
      <c r="T584" s="976"/>
      <c r="U584" s="976"/>
      <c r="V584" s="976"/>
      <c r="W584" s="976"/>
      <c r="X584" s="976"/>
      <c r="Y584" s="976"/>
      <c r="Z584" s="976"/>
    </row>
    <row r="585" spans="1:26" ht="15" x14ac:dyDescent="0.25">
      <c r="A585" s="976"/>
      <c r="B585" s="976"/>
      <c r="C585" s="976"/>
      <c r="D585" s="976"/>
      <c r="E585" s="976"/>
      <c r="F585" s="976"/>
      <c r="G585" s="976"/>
      <c r="H585" s="976"/>
      <c r="I585" s="976"/>
      <c r="J585" s="976"/>
      <c r="K585" s="976"/>
      <c r="L585" s="976"/>
      <c r="M585" s="976"/>
      <c r="N585" s="976"/>
      <c r="O585" s="976"/>
      <c r="P585" s="976"/>
      <c r="Q585" s="976"/>
      <c r="R585" s="976"/>
      <c r="S585" s="976"/>
      <c r="T585" s="976"/>
      <c r="U585" s="976"/>
      <c r="V585" s="976"/>
      <c r="W585" s="976"/>
      <c r="X585" s="976"/>
      <c r="Y585" s="976"/>
      <c r="Z585" s="976"/>
    </row>
    <row r="586" spans="1:26" ht="15" x14ac:dyDescent="0.25">
      <c r="A586" s="976"/>
      <c r="B586" s="976"/>
      <c r="C586" s="976"/>
      <c r="D586" s="976"/>
      <c r="E586" s="976"/>
      <c r="F586" s="976"/>
      <c r="G586" s="976"/>
      <c r="H586" s="976"/>
      <c r="I586" s="976"/>
      <c r="J586" s="976"/>
      <c r="K586" s="976"/>
      <c r="L586" s="976"/>
      <c r="M586" s="976"/>
      <c r="N586" s="976"/>
      <c r="O586" s="976"/>
      <c r="P586" s="976"/>
      <c r="Q586" s="976"/>
      <c r="R586" s="976"/>
      <c r="S586" s="976"/>
      <c r="T586" s="976"/>
      <c r="U586" s="976"/>
      <c r="V586" s="976"/>
      <c r="W586" s="976"/>
      <c r="X586" s="976"/>
      <c r="Y586" s="976"/>
      <c r="Z586" s="976"/>
    </row>
    <row r="587" spans="1:26" ht="15" x14ac:dyDescent="0.25">
      <c r="A587" s="976"/>
      <c r="B587" s="976"/>
      <c r="C587" s="976"/>
      <c r="D587" s="976"/>
      <c r="E587" s="976"/>
      <c r="F587" s="976"/>
      <c r="G587" s="976"/>
      <c r="H587" s="976"/>
      <c r="I587" s="976"/>
      <c r="J587" s="976"/>
      <c r="K587" s="976"/>
      <c r="L587" s="976"/>
      <c r="M587" s="976"/>
      <c r="N587" s="976"/>
      <c r="O587" s="976"/>
      <c r="P587" s="976"/>
      <c r="Q587" s="976"/>
      <c r="R587" s="976"/>
      <c r="S587" s="976"/>
      <c r="T587" s="976"/>
      <c r="U587" s="976"/>
      <c r="V587" s="976"/>
      <c r="W587" s="976"/>
      <c r="X587" s="976"/>
      <c r="Y587" s="976"/>
      <c r="Z587" s="976"/>
    </row>
    <row r="588" spans="1:26" ht="15" x14ac:dyDescent="0.25">
      <c r="A588" s="976"/>
      <c r="B588" s="976"/>
      <c r="C588" s="976"/>
      <c r="D588" s="976"/>
      <c r="E588" s="976"/>
      <c r="F588" s="976"/>
      <c r="G588" s="976"/>
      <c r="H588" s="976"/>
      <c r="I588" s="976"/>
      <c r="J588" s="976"/>
      <c r="K588" s="976"/>
      <c r="L588" s="976"/>
      <c r="M588" s="976"/>
      <c r="N588" s="976"/>
      <c r="O588" s="976"/>
      <c r="P588" s="976"/>
      <c r="Q588" s="976"/>
      <c r="R588" s="976"/>
      <c r="S588" s="976"/>
      <c r="T588" s="976"/>
      <c r="U588" s="976"/>
      <c r="V588" s="976"/>
      <c r="W588" s="976"/>
      <c r="X588" s="976"/>
      <c r="Y588" s="976"/>
      <c r="Z588" s="976"/>
    </row>
    <row r="589" spans="1:26" ht="15" x14ac:dyDescent="0.25">
      <c r="A589" s="976"/>
      <c r="B589" s="976"/>
      <c r="C589" s="976"/>
      <c r="D589" s="976"/>
      <c r="E589" s="976"/>
      <c r="F589" s="976"/>
      <c r="G589" s="976"/>
      <c r="H589" s="976"/>
      <c r="I589" s="976"/>
      <c r="J589" s="976"/>
      <c r="K589" s="976"/>
      <c r="L589" s="976"/>
      <c r="M589" s="976"/>
      <c r="N589" s="976"/>
      <c r="O589" s="976"/>
      <c r="P589" s="976"/>
      <c r="Q589" s="976"/>
      <c r="R589" s="976"/>
      <c r="S589" s="976"/>
      <c r="T589" s="976"/>
      <c r="U589" s="976"/>
      <c r="V589" s="976"/>
      <c r="W589" s="976"/>
      <c r="X589" s="976"/>
      <c r="Y589" s="976"/>
      <c r="Z589" s="976"/>
    </row>
    <row r="590" spans="1:26" ht="15" x14ac:dyDescent="0.25">
      <c r="A590" s="976"/>
      <c r="B590" s="976"/>
      <c r="C590" s="976"/>
      <c r="D590" s="976"/>
      <c r="E590" s="976"/>
      <c r="F590" s="976"/>
      <c r="G590" s="976"/>
      <c r="H590" s="976"/>
      <c r="I590" s="976"/>
      <c r="J590" s="976"/>
      <c r="K590" s="976"/>
      <c r="L590" s="976"/>
      <c r="M590" s="976"/>
      <c r="N590" s="976"/>
      <c r="O590" s="976"/>
      <c r="P590" s="976"/>
      <c r="Q590" s="976"/>
      <c r="R590" s="976"/>
      <c r="S590" s="976"/>
      <c r="T590" s="976"/>
      <c r="U590" s="976"/>
      <c r="V590" s="976"/>
      <c r="W590" s="976"/>
      <c r="X590" s="976"/>
      <c r="Y590" s="976"/>
      <c r="Z590" s="976"/>
    </row>
    <row r="591" spans="1:26" ht="15" x14ac:dyDescent="0.25">
      <c r="A591" s="976"/>
      <c r="B591" s="976"/>
      <c r="C591" s="976"/>
      <c r="D591" s="976"/>
      <c r="E591" s="976"/>
      <c r="F591" s="976"/>
      <c r="G591" s="976"/>
      <c r="H591" s="976"/>
      <c r="I591" s="976"/>
      <c r="J591" s="976"/>
      <c r="K591" s="976"/>
      <c r="L591" s="976"/>
      <c r="M591" s="976"/>
      <c r="N591" s="976"/>
      <c r="O591" s="976"/>
      <c r="P591" s="976"/>
      <c r="Q591" s="976"/>
      <c r="R591" s="976"/>
      <c r="S591" s="976"/>
      <c r="T591" s="976"/>
      <c r="U591" s="976"/>
      <c r="V591" s="976"/>
      <c r="W591" s="976"/>
      <c r="X591" s="976"/>
      <c r="Y591" s="976"/>
      <c r="Z591" s="976"/>
    </row>
    <row r="592" spans="1:26" ht="15" x14ac:dyDescent="0.25">
      <c r="A592" s="976"/>
      <c r="B592" s="976"/>
      <c r="C592" s="976"/>
      <c r="D592" s="976"/>
      <c r="E592" s="976"/>
      <c r="F592" s="976"/>
      <c r="G592" s="976"/>
      <c r="H592" s="976"/>
      <c r="I592" s="976"/>
      <c r="J592" s="976"/>
      <c r="K592" s="976"/>
      <c r="L592" s="976"/>
      <c r="M592" s="976"/>
      <c r="N592" s="976"/>
      <c r="O592" s="976"/>
      <c r="P592" s="976"/>
      <c r="Q592" s="976"/>
      <c r="R592" s="976"/>
      <c r="S592" s="976"/>
      <c r="T592" s="976"/>
      <c r="U592" s="976"/>
      <c r="V592" s="976"/>
      <c r="W592" s="976"/>
      <c r="X592" s="976"/>
      <c r="Y592" s="976"/>
      <c r="Z592" s="976"/>
    </row>
    <row r="593" spans="1:26" ht="15" x14ac:dyDescent="0.25">
      <c r="A593" s="976"/>
      <c r="B593" s="976"/>
      <c r="C593" s="976"/>
      <c r="D593" s="976"/>
      <c r="E593" s="976"/>
      <c r="F593" s="976"/>
      <c r="G593" s="976"/>
      <c r="H593" s="976"/>
      <c r="I593" s="976"/>
      <c r="J593" s="976"/>
      <c r="K593" s="976"/>
      <c r="L593" s="976"/>
      <c r="M593" s="976"/>
      <c r="N593" s="976"/>
      <c r="O593" s="976"/>
      <c r="P593" s="976"/>
      <c r="Q593" s="976"/>
      <c r="R593" s="976"/>
      <c r="S593" s="976"/>
      <c r="T593" s="976"/>
      <c r="U593" s="976"/>
      <c r="V593" s="976"/>
      <c r="W593" s="976"/>
      <c r="X593" s="976"/>
      <c r="Y593" s="976"/>
      <c r="Z593" s="976"/>
    </row>
    <row r="594" spans="1:26" ht="15" x14ac:dyDescent="0.25">
      <c r="A594" s="976"/>
      <c r="B594" s="976"/>
      <c r="C594" s="976"/>
      <c r="D594" s="976"/>
      <c r="E594" s="976"/>
      <c r="F594" s="976"/>
      <c r="G594" s="976"/>
      <c r="H594" s="976"/>
      <c r="I594" s="976"/>
      <c r="J594" s="976"/>
      <c r="K594" s="976"/>
      <c r="L594" s="976"/>
      <c r="M594" s="976"/>
      <c r="N594" s="976"/>
      <c r="O594" s="976"/>
      <c r="P594" s="976"/>
      <c r="Q594" s="976"/>
      <c r="R594" s="976"/>
      <c r="S594" s="976"/>
      <c r="T594" s="976"/>
      <c r="U594" s="976"/>
      <c r="V594" s="976"/>
      <c r="W594" s="976"/>
      <c r="X594" s="976"/>
      <c r="Y594" s="976"/>
      <c r="Z594" s="976"/>
    </row>
    <row r="595" spans="1:26" ht="15" x14ac:dyDescent="0.25">
      <c r="A595" s="976"/>
      <c r="B595" s="976"/>
      <c r="C595" s="976"/>
      <c r="D595" s="976"/>
      <c r="E595" s="976"/>
      <c r="F595" s="976"/>
      <c r="G595" s="976"/>
      <c r="H595" s="976"/>
      <c r="I595" s="976"/>
      <c r="J595" s="976"/>
      <c r="K595" s="976"/>
      <c r="L595" s="976"/>
      <c r="M595" s="976"/>
      <c r="N595" s="976"/>
      <c r="O595" s="976"/>
      <c r="P595" s="976"/>
      <c r="Q595" s="976"/>
      <c r="R595" s="976"/>
      <c r="S595" s="976"/>
      <c r="T595" s="976"/>
      <c r="U595" s="976"/>
      <c r="V595" s="976"/>
      <c r="W595" s="976"/>
      <c r="X595" s="976"/>
      <c r="Y595" s="976"/>
      <c r="Z595" s="976"/>
    </row>
    <row r="596" spans="1:26" ht="15" x14ac:dyDescent="0.25">
      <c r="A596" s="976"/>
      <c r="B596" s="976"/>
      <c r="C596" s="976"/>
      <c r="D596" s="976"/>
      <c r="E596" s="976"/>
      <c r="F596" s="976"/>
      <c r="G596" s="976"/>
      <c r="H596" s="976"/>
      <c r="I596" s="976"/>
      <c r="J596" s="976"/>
      <c r="K596" s="976"/>
      <c r="L596" s="976"/>
      <c r="M596" s="976"/>
      <c r="N596" s="976"/>
      <c r="O596" s="976"/>
      <c r="P596" s="976"/>
      <c r="Q596" s="976"/>
      <c r="R596" s="976"/>
      <c r="S596" s="976"/>
      <c r="T596" s="976"/>
      <c r="U596" s="976"/>
      <c r="V596" s="976"/>
      <c r="W596" s="976"/>
      <c r="X596" s="976"/>
      <c r="Y596" s="976"/>
      <c r="Z596" s="976"/>
    </row>
    <row r="597" spans="1:26" ht="15" x14ac:dyDescent="0.25">
      <c r="A597" s="976"/>
      <c r="B597" s="976"/>
      <c r="C597" s="976"/>
      <c r="D597" s="976"/>
      <c r="E597" s="976"/>
      <c r="F597" s="976"/>
      <c r="G597" s="976"/>
      <c r="H597" s="976"/>
      <c r="I597" s="976"/>
      <c r="J597" s="976"/>
      <c r="K597" s="976"/>
      <c r="L597" s="976"/>
      <c r="M597" s="976"/>
      <c r="N597" s="976"/>
      <c r="O597" s="976"/>
      <c r="P597" s="976"/>
      <c r="Q597" s="976"/>
      <c r="R597" s="976"/>
      <c r="S597" s="976"/>
      <c r="T597" s="976"/>
      <c r="U597" s="976"/>
      <c r="V597" s="976"/>
      <c r="W597" s="976"/>
      <c r="X597" s="976"/>
      <c r="Y597" s="976"/>
      <c r="Z597" s="976"/>
    </row>
    <row r="598" spans="1:26" ht="15" x14ac:dyDescent="0.25">
      <c r="A598" s="976"/>
      <c r="B598" s="976"/>
      <c r="C598" s="976"/>
      <c r="D598" s="976"/>
      <c r="E598" s="976"/>
      <c r="F598" s="976"/>
      <c r="G598" s="976"/>
      <c r="H598" s="976"/>
      <c r="I598" s="976"/>
      <c r="J598" s="976"/>
      <c r="K598" s="976"/>
      <c r="L598" s="976"/>
      <c r="M598" s="976"/>
      <c r="N598" s="976"/>
      <c r="O598" s="976"/>
      <c r="P598" s="976"/>
      <c r="Q598" s="976"/>
      <c r="R598" s="976"/>
      <c r="S598" s="976"/>
      <c r="T598" s="976"/>
      <c r="U598" s="976"/>
      <c r="V598" s="976"/>
      <c r="W598" s="976"/>
      <c r="X598" s="976"/>
      <c r="Y598" s="976"/>
      <c r="Z598" s="976"/>
    </row>
    <row r="599" spans="1:26" ht="15" x14ac:dyDescent="0.25">
      <c r="A599" s="976"/>
      <c r="B599" s="976"/>
      <c r="C599" s="976"/>
      <c r="D599" s="976"/>
      <c r="E599" s="976"/>
      <c r="F599" s="976"/>
      <c r="G599" s="976"/>
      <c r="H599" s="976"/>
      <c r="I599" s="976"/>
      <c r="J599" s="976"/>
      <c r="K599" s="976"/>
      <c r="L599" s="976"/>
      <c r="M599" s="976"/>
      <c r="N599" s="976"/>
      <c r="O599" s="976"/>
      <c r="P599" s="976"/>
      <c r="Q599" s="976"/>
      <c r="R599" s="976"/>
      <c r="S599" s="976"/>
      <c r="T599" s="976"/>
      <c r="U599" s="976"/>
      <c r="V599" s="976"/>
      <c r="W599" s="976"/>
      <c r="X599" s="976"/>
      <c r="Y599" s="976"/>
      <c r="Z599" s="976"/>
    </row>
    <row r="600" spans="1:26" ht="15" x14ac:dyDescent="0.25">
      <c r="A600" s="976"/>
      <c r="B600" s="976"/>
      <c r="C600" s="976"/>
      <c r="D600" s="976"/>
      <c r="E600" s="976"/>
      <c r="F600" s="976"/>
      <c r="G600" s="976"/>
      <c r="H600" s="976"/>
      <c r="I600" s="976"/>
      <c r="J600" s="976"/>
      <c r="K600" s="976"/>
      <c r="L600" s="976"/>
      <c r="M600" s="976"/>
      <c r="N600" s="976"/>
      <c r="O600" s="976"/>
      <c r="P600" s="976"/>
      <c r="Q600" s="976"/>
      <c r="R600" s="976"/>
      <c r="S600" s="976"/>
      <c r="T600" s="976"/>
      <c r="U600" s="976"/>
      <c r="V600" s="976"/>
      <c r="W600" s="976"/>
      <c r="X600" s="976"/>
      <c r="Y600" s="976"/>
      <c r="Z600" s="976"/>
    </row>
    <row r="601" spans="1:26" ht="15" x14ac:dyDescent="0.25">
      <c r="A601" s="976"/>
      <c r="B601" s="976"/>
      <c r="C601" s="976"/>
      <c r="D601" s="976"/>
      <c r="E601" s="976"/>
      <c r="F601" s="976"/>
      <c r="G601" s="976"/>
      <c r="H601" s="976"/>
      <c r="I601" s="976"/>
      <c r="J601" s="976"/>
      <c r="K601" s="976"/>
      <c r="L601" s="976"/>
      <c r="M601" s="976"/>
      <c r="N601" s="976"/>
      <c r="O601" s="976"/>
      <c r="P601" s="976"/>
      <c r="Q601" s="976"/>
      <c r="R601" s="976"/>
      <c r="S601" s="976"/>
      <c r="T601" s="976"/>
      <c r="U601" s="976"/>
      <c r="V601" s="976"/>
      <c r="W601" s="976"/>
      <c r="X601" s="976"/>
      <c r="Y601" s="976"/>
      <c r="Z601" s="976"/>
    </row>
    <row r="602" spans="1:26" ht="15" x14ac:dyDescent="0.25">
      <c r="A602" s="976"/>
      <c r="B602" s="976"/>
      <c r="C602" s="976"/>
      <c r="D602" s="976"/>
      <c r="E602" s="976"/>
      <c r="F602" s="976"/>
      <c r="G602" s="976"/>
      <c r="H602" s="976"/>
      <c r="I602" s="976"/>
      <c r="J602" s="976"/>
      <c r="K602" s="976"/>
      <c r="L602" s="976"/>
      <c r="M602" s="976"/>
      <c r="N602" s="976"/>
      <c r="O602" s="976"/>
      <c r="P602" s="976"/>
      <c r="Q602" s="976"/>
      <c r="R602" s="976"/>
      <c r="S602" s="976"/>
      <c r="T602" s="976"/>
      <c r="U602" s="976"/>
      <c r="V602" s="976"/>
      <c r="W602" s="976"/>
      <c r="X602" s="976"/>
      <c r="Y602" s="976"/>
      <c r="Z602" s="976"/>
    </row>
    <row r="603" spans="1:26" ht="15" x14ac:dyDescent="0.25">
      <c r="A603" s="976"/>
      <c r="B603" s="976"/>
      <c r="C603" s="976"/>
      <c r="D603" s="976"/>
      <c r="E603" s="976"/>
      <c r="F603" s="976"/>
      <c r="G603" s="976"/>
      <c r="H603" s="976"/>
      <c r="I603" s="976"/>
      <c r="J603" s="976"/>
      <c r="K603" s="976"/>
      <c r="L603" s="976"/>
      <c r="M603" s="976"/>
      <c r="N603" s="976"/>
      <c r="O603" s="976"/>
      <c r="P603" s="976"/>
      <c r="Q603" s="976"/>
      <c r="R603" s="976"/>
      <c r="S603" s="976"/>
      <c r="T603" s="976"/>
      <c r="U603" s="976"/>
      <c r="V603" s="976"/>
      <c r="W603" s="976"/>
      <c r="X603" s="976"/>
      <c r="Y603" s="976"/>
      <c r="Z603" s="976"/>
    </row>
    <row r="604" spans="1:26" ht="15" x14ac:dyDescent="0.25">
      <c r="A604" s="976"/>
      <c r="B604" s="976"/>
      <c r="C604" s="976"/>
      <c r="D604" s="976"/>
      <c r="E604" s="976"/>
      <c r="F604" s="976"/>
      <c r="G604" s="976"/>
      <c r="H604" s="976"/>
      <c r="I604" s="976"/>
      <c r="J604" s="976"/>
      <c r="K604" s="976"/>
      <c r="L604" s="976"/>
      <c r="M604" s="976"/>
      <c r="N604" s="976"/>
      <c r="O604" s="976"/>
      <c r="P604" s="976"/>
      <c r="Q604" s="976"/>
      <c r="R604" s="976"/>
      <c r="S604" s="976"/>
      <c r="T604" s="976"/>
      <c r="U604" s="976"/>
      <c r="V604" s="976"/>
      <c r="W604" s="976"/>
      <c r="X604" s="976"/>
      <c r="Y604" s="976"/>
      <c r="Z604" s="976"/>
    </row>
    <row r="605" spans="1:26" ht="15" x14ac:dyDescent="0.25">
      <c r="A605" s="976"/>
      <c r="B605" s="976"/>
      <c r="C605" s="976"/>
      <c r="D605" s="976"/>
      <c r="E605" s="976"/>
      <c r="F605" s="976"/>
      <c r="G605" s="976"/>
      <c r="H605" s="976"/>
      <c r="I605" s="976"/>
      <c r="J605" s="976"/>
      <c r="K605" s="976"/>
      <c r="L605" s="976"/>
      <c r="M605" s="976"/>
      <c r="N605" s="976"/>
      <c r="O605" s="976"/>
      <c r="P605" s="976"/>
      <c r="Q605" s="976"/>
      <c r="R605" s="976"/>
      <c r="S605" s="976"/>
      <c r="T605" s="976"/>
      <c r="U605" s="976"/>
      <c r="V605" s="976"/>
      <c r="W605" s="976"/>
      <c r="X605" s="976"/>
      <c r="Y605" s="976"/>
      <c r="Z605" s="976"/>
    </row>
    <row r="606" spans="1:26" ht="15" x14ac:dyDescent="0.25">
      <c r="A606" s="976"/>
      <c r="B606" s="976"/>
      <c r="C606" s="976"/>
      <c r="D606" s="976"/>
      <c r="E606" s="976"/>
      <c r="F606" s="976"/>
      <c r="G606" s="976"/>
      <c r="H606" s="976"/>
      <c r="I606" s="976"/>
      <c r="J606" s="976"/>
      <c r="K606" s="976"/>
      <c r="L606" s="976"/>
      <c r="M606" s="976"/>
      <c r="N606" s="976"/>
      <c r="O606" s="976"/>
      <c r="P606" s="976"/>
      <c r="Q606" s="976"/>
      <c r="R606" s="976"/>
      <c r="S606" s="976"/>
      <c r="T606" s="976"/>
      <c r="U606" s="976"/>
      <c r="V606" s="976"/>
      <c r="W606" s="976"/>
      <c r="X606" s="976"/>
      <c r="Y606" s="976"/>
      <c r="Z606" s="976"/>
    </row>
    <row r="607" spans="1:26" ht="15" x14ac:dyDescent="0.25">
      <c r="A607" s="976"/>
      <c r="B607" s="976"/>
      <c r="C607" s="976"/>
      <c r="D607" s="976"/>
      <c r="E607" s="976"/>
      <c r="F607" s="976"/>
      <c r="G607" s="976"/>
      <c r="H607" s="976"/>
      <c r="I607" s="976"/>
      <c r="J607" s="976"/>
      <c r="K607" s="976"/>
      <c r="L607" s="976"/>
      <c r="M607" s="976"/>
      <c r="N607" s="976"/>
      <c r="O607" s="976"/>
      <c r="P607" s="976"/>
      <c r="Q607" s="976"/>
      <c r="R607" s="976"/>
      <c r="S607" s="976"/>
      <c r="T607" s="976"/>
      <c r="U607" s="976"/>
      <c r="V607" s="976"/>
      <c r="W607" s="976"/>
      <c r="X607" s="976"/>
      <c r="Y607" s="976"/>
      <c r="Z607" s="976"/>
    </row>
    <row r="608" spans="1:26" ht="15" x14ac:dyDescent="0.25">
      <c r="A608" s="976"/>
      <c r="B608" s="976"/>
      <c r="C608" s="976"/>
      <c r="D608" s="976"/>
      <c r="E608" s="976"/>
      <c r="F608" s="976"/>
      <c r="G608" s="976"/>
      <c r="H608" s="976"/>
      <c r="I608" s="976"/>
      <c r="J608" s="976"/>
      <c r="K608" s="976"/>
      <c r="L608" s="976"/>
      <c r="M608" s="976"/>
      <c r="N608" s="976"/>
      <c r="O608" s="976"/>
      <c r="P608" s="976"/>
      <c r="Q608" s="976"/>
      <c r="R608" s="976"/>
      <c r="S608" s="976"/>
      <c r="T608" s="976"/>
      <c r="U608" s="976"/>
      <c r="V608" s="976"/>
      <c r="W608" s="976"/>
      <c r="X608" s="976"/>
      <c r="Y608" s="976"/>
      <c r="Z608" s="976"/>
    </row>
    <row r="609" spans="1:26" ht="15" x14ac:dyDescent="0.25">
      <c r="A609" s="976"/>
      <c r="B609" s="976"/>
      <c r="C609" s="976"/>
      <c r="D609" s="976"/>
      <c r="E609" s="976"/>
      <c r="F609" s="976"/>
      <c r="G609" s="976"/>
      <c r="H609" s="976"/>
      <c r="I609" s="976"/>
      <c r="J609" s="976"/>
      <c r="K609" s="976"/>
      <c r="L609" s="976"/>
      <c r="M609" s="976"/>
      <c r="N609" s="976"/>
      <c r="O609" s="976"/>
      <c r="P609" s="976"/>
      <c r="Q609" s="976"/>
      <c r="R609" s="976"/>
      <c r="S609" s="976"/>
      <c r="T609" s="976"/>
      <c r="U609" s="976"/>
      <c r="V609" s="976"/>
      <c r="W609" s="976"/>
      <c r="X609" s="976"/>
      <c r="Y609" s="976"/>
      <c r="Z609" s="976"/>
    </row>
    <row r="610" spans="1:26" ht="15" x14ac:dyDescent="0.25">
      <c r="A610" s="976"/>
      <c r="B610" s="976"/>
      <c r="C610" s="976"/>
      <c r="D610" s="976"/>
      <c r="E610" s="976"/>
      <c r="F610" s="976"/>
      <c r="G610" s="976"/>
      <c r="H610" s="976"/>
      <c r="I610" s="976"/>
      <c r="J610" s="976"/>
      <c r="K610" s="976"/>
      <c r="L610" s="976"/>
      <c r="M610" s="976"/>
      <c r="N610" s="976"/>
      <c r="O610" s="976"/>
      <c r="P610" s="976"/>
      <c r="Q610" s="976"/>
      <c r="R610" s="976"/>
      <c r="S610" s="976"/>
      <c r="T610" s="976"/>
      <c r="U610" s="976"/>
      <c r="V610" s="976"/>
      <c r="W610" s="976"/>
      <c r="X610" s="976"/>
      <c r="Y610" s="976"/>
      <c r="Z610" s="976"/>
    </row>
    <row r="611" spans="1:26" ht="15" x14ac:dyDescent="0.25">
      <c r="A611" s="976"/>
      <c r="B611" s="976"/>
      <c r="C611" s="976"/>
      <c r="D611" s="976"/>
      <c r="E611" s="976"/>
      <c r="F611" s="976"/>
      <c r="G611" s="976"/>
      <c r="H611" s="976"/>
      <c r="I611" s="976"/>
      <c r="J611" s="976"/>
      <c r="K611" s="976"/>
      <c r="L611" s="976"/>
      <c r="M611" s="976"/>
      <c r="N611" s="976"/>
      <c r="O611" s="976"/>
      <c r="P611" s="976"/>
      <c r="Q611" s="976"/>
      <c r="R611" s="976"/>
      <c r="S611" s="976"/>
      <c r="T611" s="976"/>
      <c r="U611" s="976"/>
      <c r="V611" s="976"/>
      <c r="W611" s="976"/>
      <c r="X611" s="976"/>
      <c r="Y611" s="976"/>
      <c r="Z611" s="976"/>
    </row>
    <row r="612" spans="1:26" ht="15" x14ac:dyDescent="0.25">
      <c r="A612" s="976"/>
      <c r="B612" s="976"/>
      <c r="C612" s="976"/>
      <c r="D612" s="976"/>
      <c r="E612" s="976"/>
      <c r="F612" s="976"/>
      <c r="G612" s="976"/>
      <c r="H612" s="976"/>
      <c r="I612" s="976"/>
      <c r="J612" s="976"/>
      <c r="K612" s="976"/>
      <c r="L612" s="976"/>
      <c r="M612" s="976"/>
      <c r="N612" s="976"/>
      <c r="O612" s="976"/>
      <c r="P612" s="976"/>
      <c r="Q612" s="976"/>
      <c r="R612" s="976"/>
      <c r="S612" s="976"/>
      <c r="T612" s="976"/>
      <c r="U612" s="976"/>
      <c r="V612" s="976"/>
      <c r="W612" s="976"/>
      <c r="X612" s="976"/>
      <c r="Y612" s="976"/>
      <c r="Z612" s="976"/>
    </row>
    <row r="613" spans="1:26" ht="15" x14ac:dyDescent="0.25">
      <c r="A613" s="976"/>
      <c r="B613" s="976"/>
      <c r="C613" s="976"/>
      <c r="D613" s="976"/>
      <c r="E613" s="976"/>
      <c r="F613" s="976"/>
      <c r="G613" s="976"/>
      <c r="H613" s="976"/>
      <c r="I613" s="976"/>
      <c r="J613" s="976"/>
      <c r="K613" s="976"/>
      <c r="L613" s="976"/>
      <c r="M613" s="976"/>
      <c r="N613" s="976"/>
      <c r="O613" s="976"/>
      <c r="P613" s="976"/>
      <c r="Q613" s="976"/>
      <c r="R613" s="976"/>
      <c r="S613" s="976"/>
      <c r="T613" s="976"/>
      <c r="U613" s="976"/>
      <c r="V613" s="976"/>
      <c r="W613" s="976"/>
      <c r="X613" s="976"/>
      <c r="Y613" s="976"/>
      <c r="Z613" s="976"/>
    </row>
    <row r="614" spans="1:26" ht="15" x14ac:dyDescent="0.25">
      <c r="A614" s="976"/>
      <c r="B614" s="976"/>
      <c r="C614" s="976"/>
      <c r="D614" s="976"/>
      <c r="E614" s="976"/>
      <c r="F614" s="976"/>
      <c r="G614" s="976"/>
      <c r="H614" s="976"/>
      <c r="I614" s="976"/>
      <c r="J614" s="976"/>
      <c r="K614" s="976"/>
      <c r="L614" s="976"/>
      <c r="M614" s="976"/>
      <c r="N614" s="976"/>
      <c r="O614" s="976"/>
      <c r="P614" s="976"/>
      <c r="Q614" s="976"/>
      <c r="R614" s="976"/>
      <c r="S614" s="976"/>
      <c r="T614" s="976"/>
      <c r="U614" s="976"/>
      <c r="V614" s="976"/>
      <c r="W614" s="976"/>
      <c r="X614" s="976"/>
      <c r="Y614" s="976"/>
      <c r="Z614" s="976"/>
    </row>
    <row r="615" spans="1:26" ht="15" x14ac:dyDescent="0.25">
      <c r="A615" s="976"/>
      <c r="B615" s="976"/>
      <c r="C615" s="976"/>
      <c r="D615" s="976"/>
      <c r="E615" s="976"/>
      <c r="F615" s="976"/>
      <c r="G615" s="976"/>
      <c r="H615" s="976"/>
      <c r="I615" s="976"/>
      <c r="J615" s="976"/>
      <c r="K615" s="976"/>
      <c r="L615" s="976"/>
      <c r="M615" s="976"/>
      <c r="N615" s="976"/>
      <c r="O615" s="976"/>
      <c r="P615" s="976"/>
      <c r="Q615" s="976"/>
      <c r="R615" s="976"/>
      <c r="S615" s="976"/>
      <c r="T615" s="976"/>
      <c r="U615" s="976"/>
      <c r="V615" s="976"/>
      <c r="W615" s="976"/>
      <c r="X615" s="976"/>
      <c r="Y615" s="976"/>
      <c r="Z615" s="976"/>
    </row>
    <row r="616" spans="1:26" ht="15" x14ac:dyDescent="0.25">
      <c r="A616" s="976"/>
      <c r="B616" s="976"/>
      <c r="C616" s="976"/>
      <c r="D616" s="976"/>
      <c r="E616" s="976"/>
      <c r="F616" s="976"/>
      <c r="G616" s="976"/>
      <c r="H616" s="976"/>
      <c r="I616" s="976"/>
      <c r="J616" s="976"/>
      <c r="K616" s="976"/>
      <c r="L616" s="976"/>
      <c r="M616" s="976"/>
      <c r="N616" s="976"/>
      <c r="O616" s="976"/>
      <c r="P616" s="976"/>
      <c r="Q616" s="976"/>
      <c r="R616" s="976"/>
      <c r="S616" s="976"/>
      <c r="T616" s="976"/>
      <c r="U616" s="976"/>
      <c r="V616" s="976"/>
      <c r="W616" s="976"/>
      <c r="X616" s="976"/>
      <c r="Y616" s="976"/>
      <c r="Z616" s="976"/>
    </row>
    <row r="617" spans="1:26" ht="15" x14ac:dyDescent="0.25">
      <c r="A617" s="976"/>
      <c r="B617" s="976"/>
      <c r="C617" s="976"/>
      <c r="D617" s="976"/>
      <c r="E617" s="976"/>
      <c r="F617" s="976"/>
      <c r="G617" s="976"/>
      <c r="H617" s="976"/>
      <c r="I617" s="976"/>
      <c r="J617" s="976"/>
      <c r="K617" s="976"/>
      <c r="L617" s="976"/>
      <c r="M617" s="976"/>
      <c r="N617" s="976"/>
      <c r="O617" s="976"/>
      <c r="P617" s="976"/>
      <c r="Q617" s="976"/>
      <c r="R617" s="976"/>
      <c r="S617" s="976"/>
      <c r="T617" s="976"/>
      <c r="U617" s="976"/>
      <c r="V617" s="976"/>
      <c r="W617" s="976"/>
      <c r="X617" s="976"/>
      <c r="Y617" s="976"/>
      <c r="Z617" s="976"/>
    </row>
    <row r="618" spans="1:26" ht="15" x14ac:dyDescent="0.25">
      <c r="A618" s="976"/>
      <c r="B618" s="976"/>
      <c r="C618" s="976"/>
      <c r="D618" s="976"/>
      <c r="E618" s="976"/>
      <c r="F618" s="976"/>
      <c r="G618" s="976"/>
      <c r="H618" s="976"/>
      <c r="I618" s="976"/>
      <c r="J618" s="976"/>
      <c r="K618" s="976"/>
      <c r="L618" s="976"/>
      <c r="M618" s="976"/>
      <c r="N618" s="976"/>
      <c r="O618" s="976"/>
      <c r="P618" s="976"/>
      <c r="Q618" s="976"/>
      <c r="R618" s="976"/>
      <c r="S618" s="976"/>
      <c r="T618" s="976"/>
      <c r="U618" s="976"/>
      <c r="V618" s="976"/>
      <c r="W618" s="976"/>
      <c r="X618" s="976"/>
      <c r="Y618" s="976"/>
      <c r="Z618" s="976"/>
    </row>
    <row r="619" spans="1:26" ht="15" x14ac:dyDescent="0.25">
      <c r="A619" s="976"/>
      <c r="B619" s="976"/>
      <c r="C619" s="976"/>
      <c r="D619" s="976"/>
      <c r="E619" s="976"/>
      <c r="F619" s="976"/>
      <c r="G619" s="976"/>
      <c r="H619" s="976"/>
      <c r="I619" s="976"/>
      <c r="J619" s="976"/>
      <c r="K619" s="976"/>
      <c r="L619" s="976"/>
      <c r="M619" s="976"/>
      <c r="N619" s="976"/>
      <c r="O619" s="976"/>
      <c r="P619" s="976"/>
      <c r="Q619" s="976"/>
      <c r="R619" s="976"/>
      <c r="S619" s="976"/>
      <c r="T619" s="976"/>
      <c r="U619" s="976"/>
      <c r="V619" s="976"/>
      <c r="W619" s="976"/>
      <c r="X619" s="976"/>
      <c r="Y619" s="976"/>
      <c r="Z619" s="976"/>
    </row>
    <row r="620" spans="1:26" ht="15" x14ac:dyDescent="0.25">
      <c r="A620" s="976"/>
      <c r="B620" s="976"/>
      <c r="C620" s="976"/>
      <c r="D620" s="976"/>
      <c r="E620" s="976"/>
      <c r="F620" s="976"/>
      <c r="G620" s="976"/>
      <c r="H620" s="976"/>
      <c r="I620" s="976"/>
      <c r="J620" s="976"/>
      <c r="K620" s="976"/>
      <c r="L620" s="976"/>
      <c r="M620" s="976"/>
      <c r="N620" s="976"/>
      <c r="O620" s="976"/>
      <c r="P620" s="976"/>
      <c r="Q620" s="976"/>
      <c r="R620" s="976"/>
      <c r="S620" s="976"/>
      <c r="T620" s="976"/>
      <c r="U620" s="976"/>
      <c r="V620" s="976"/>
      <c r="W620" s="976"/>
      <c r="X620" s="976"/>
      <c r="Y620" s="976"/>
      <c r="Z620" s="976"/>
    </row>
    <row r="621" spans="1:26" ht="15" x14ac:dyDescent="0.25">
      <c r="A621" s="976"/>
      <c r="B621" s="976"/>
      <c r="C621" s="976"/>
      <c r="D621" s="976"/>
      <c r="E621" s="976"/>
      <c r="F621" s="976"/>
      <c r="G621" s="976"/>
      <c r="H621" s="976"/>
      <c r="I621" s="976"/>
      <c r="J621" s="976"/>
      <c r="K621" s="976"/>
      <c r="L621" s="976"/>
      <c r="M621" s="976"/>
      <c r="N621" s="976"/>
      <c r="O621" s="976"/>
      <c r="P621" s="976"/>
      <c r="Q621" s="976"/>
      <c r="R621" s="976"/>
      <c r="S621" s="976"/>
      <c r="T621" s="976"/>
      <c r="U621" s="976"/>
      <c r="V621" s="976"/>
      <c r="W621" s="976"/>
      <c r="X621" s="976"/>
      <c r="Y621" s="976"/>
      <c r="Z621" s="976"/>
    </row>
    <row r="622" spans="1:26" ht="15" x14ac:dyDescent="0.25">
      <c r="A622" s="976"/>
      <c r="B622" s="976"/>
      <c r="C622" s="976"/>
      <c r="D622" s="976"/>
      <c r="E622" s="976"/>
      <c r="F622" s="976"/>
      <c r="G622" s="976"/>
      <c r="H622" s="976"/>
      <c r="I622" s="976"/>
      <c r="J622" s="976"/>
      <c r="K622" s="976"/>
      <c r="L622" s="976"/>
      <c r="M622" s="976"/>
      <c r="N622" s="976"/>
      <c r="O622" s="976"/>
      <c r="P622" s="976"/>
      <c r="Q622" s="976"/>
      <c r="R622" s="976"/>
      <c r="S622" s="976"/>
      <c r="T622" s="976"/>
      <c r="U622" s="976"/>
      <c r="V622" s="976"/>
      <c r="W622" s="976"/>
      <c r="X622" s="976"/>
      <c r="Y622" s="976"/>
      <c r="Z622" s="976"/>
    </row>
    <row r="623" spans="1:26" ht="15" x14ac:dyDescent="0.25">
      <c r="A623" s="976"/>
      <c r="B623" s="976"/>
      <c r="C623" s="976"/>
      <c r="D623" s="976"/>
      <c r="E623" s="976"/>
      <c r="F623" s="976"/>
      <c r="G623" s="976"/>
      <c r="H623" s="976"/>
      <c r="I623" s="976"/>
      <c r="J623" s="976"/>
      <c r="K623" s="976"/>
      <c r="L623" s="976"/>
      <c r="M623" s="976"/>
      <c r="N623" s="976"/>
      <c r="O623" s="976"/>
      <c r="P623" s="976"/>
      <c r="Q623" s="976"/>
      <c r="R623" s="976"/>
      <c r="S623" s="976"/>
      <c r="T623" s="976"/>
      <c r="U623" s="976"/>
      <c r="V623" s="976"/>
      <c r="W623" s="976"/>
      <c r="X623" s="976"/>
      <c r="Y623" s="976"/>
      <c r="Z623" s="976"/>
    </row>
    <row r="624" spans="1:26" ht="15" x14ac:dyDescent="0.25">
      <c r="A624" s="976"/>
      <c r="B624" s="976"/>
      <c r="C624" s="976"/>
      <c r="D624" s="976"/>
      <c r="E624" s="976"/>
      <c r="F624" s="976"/>
      <c r="G624" s="976"/>
      <c r="H624" s="976"/>
      <c r="I624" s="976"/>
      <c r="J624" s="976"/>
      <c r="K624" s="976"/>
      <c r="L624" s="976"/>
      <c r="M624" s="976"/>
      <c r="N624" s="976"/>
      <c r="O624" s="976"/>
      <c r="P624" s="976"/>
      <c r="Q624" s="976"/>
      <c r="R624" s="976"/>
      <c r="S624" s="976"/>
      <c r="T624" s="976"/>
      <c r="U624" s="976"/>
      <c r="V624" s="976"/>
      <c r="W624" s="976"/>
      <c r="X624" s="976"/>
      <c r="Y624" s="976"/>
      <c r="Z624" s="976"/>
    </row>
    <row r="625" spans="1:26" ht="15" x14ac:dyDescent="0.25">
      <c r="A625" s="976"/>
      <c r="B625" s="976"/>
      <c r="C625" s="976"/>
      <c r="D625" s="976"/>
      <c r="E625" s="976"/>
      <c r="F625" s="976"/>
      <c r="G625" s="976"/>
      <c r="H625" s="976"/>
      <c r="I625" s="976"/>
      <c r="J625" s="976"/>
      <c r="K625" s="976"/>
      <c r="L625" s="976"/>
      <c r="M625" s="976"/>
      <c r="N625" s="976"/>
      <c r="O625" s="976"/>
      <c r="P625" s="976"/>
      <c r="Q625" s="976"/>
      <c r="R625" s="976"/>
      <c r="S625" s="976"/>
      <c r="T625" s="976"/>
      <c r="U625" s="976"/>
      <c r="V625" s="976"/>
      <c r="W625" s="976"/>
      <c r="X625" s="976"/>
      <c r="Y625" s="976"/>
      <c r="Z625" s="976"/>
    </row>
    <row r="626" spans="1:26" ht="15" x14ac:dyDescent="0.25">
      <c r="A626" s="976"/>
      <c r="B626" s="976"/>
      <c r="C626" s="976"/>
      <c r="D626" s="976"/>
      <c r="E626" s="976"/>
      <c r="F626" s="976"/>
      <c r="G626" s="976"/>
      <c r="H626" s="976"/>
      <c r="I626" s="976"/>
      <c r="J626" s="976"/>
      <c r="K626" s="976"/>
      <c r="L626" s="976"/>
      <c r="M626" s="976"/>
      <c r="N626" s="976"/>
      <c r="O626" s="976"/>
      <c r="P626" s="976"/>
      <c r="Q626" s="976"/>
      <c r="R626" s="976"/>
      <c r="S626" s="976"/>
      <c r="T626" s="976"/>
      <c r="U626" s="976"/>
      <c r="V626" s="976"/>
      <c r="W626" s="976"/>
      <c r="X626" s="976"/>
      <c r="Y626" s="976"/>
      <c r="Z626" s="976"/>
    </row>
    <row r="627" spans="1:26" ht="15" x14ac:dyDescent="0.25">
      <c r="A627" s="976"/>
      <c r="B627" s="976"/>
      <c r="C627" s="976"/>
      <c r="D627" s="976"/>
      <c r="E627" s="976"/>
      <c r="F627" s="976"/>
      <c r="G627" s="976"/>
      <c r="H627" s="976"/>
      <c r="I627" s="976"/>
      <c r="J627" s="976"/>
      <c r="K627" s="976"/>
      <c r="L627" s="976"/>
      <c r="M627" s="976"/>
      <c r="N627" s="976"/>
      <c r="O627" s="976"/>
      <c r="P627" s="976"/>
      <c r="Q627" s="976"/>
      <c r="R627" s="976"/>
      <c r="S627" s="976"/>
      <c r="T627" s="976"/>
      <c r="U627" s="976"/>
      <c r="V627" s="976"/>
      <c r="W627" s="976"/>
      <c r="X627" s="976"/>
      <c r="Y627" s="976"/>
      <c r="Z627" s="976"/>
    </row>
    <row r="628" spans="1:26" ht="15" x14ac:dyDescent="0.25">
      <c r="A628" s="976"/>
      <c r="B628" s="976"/>
      <c r="C628" s="976"/>
      <c r="D628" s="976"/>
      <c r="E628" s="976"/>
      <c r="F628" s="976"/>
      <c r="G628" s="976"/>
      <c r="H628" s="976"/>
      <c r="I628" s="976"/>
      <c r="J628" s="976"/>
      <c r="K628" s="976"/>
      <c r="L628" s="976"/>
      <c r="M628" s="976"/>
      <c r="N628" s="976"/>
      <c r="O628" s="976"/>
      <c r="P628" s="976"/>
      <c r="Q628" s="976"/>
      <c r="R628" s="976"/>
      <c r="S628" s="976"/>
      <c r="T628" s="976"/>
      <c r="U628" s="976"/>
      <c r="V628" s="976"/>
      <c r="W628" s="976"/>
      <c r="X628" s="976"/>
      <c r="Y628" s="976"/>
      <c r="Z628" s="976"/>
    </row>
    <row r="629" spans="1:26" ht="15" x14ac:dyDescent="0.25">
      <c r="A629" s="976"/>
      <c r="B629" s="976"/>
      <c r="C629" s="976"/>
      <c r="D629" s="976"/>
      <c r="E629" s="976"/>
      <c r="F629" s="976"/>
      <c r="G629" s="976"/>
      <c r="H629" s="976"/>
      <c r="I629" s="976"/>
      <c r="J629" s="976"/>
      <c r="K629" s="976"/>
      <c r="L629" s="976"/>
      <c r="M629" s="976"/>
      <c r="N629" s="976"/>
      <c r="O629" s="976"/>
      <c r="P629" s="976"/>
      <c r="Q629" s="976"/>
      <c r="R629" s="976"/>
      <c r="S629" s="976"/>
      <c r="T629" s="976"/>
      <c r="U629" s="976"/>
      <c r="V629" s="976"/>
      <c r="W629" s="976"/>
      <c r="X629" s="976"/>
      <c r="Y629" s="976"/>
      <c r="Z629" s="976"/>
    </row>
    <row r="630" spans="1:26" ht="15" x14ac:dyDescent="0.25">
      <c r="A630" s="976"/>
      <c r="B630" s="976"/>
      <c r="C630" s="976"/>
      <c r="D630" s="976"/>
      <c r="E630" s="976"/>
      <c r="F630" s="976"/>
      <c r="G630" s="976"/>
      <c r="H630" s="976"/>
      <c r="I630" s="976"/>
      <c r="J630" s="976"/>
      <c r="K630" s="976"/>
      <c r="L630" s="976"/>
      <c r="M630" s="976"/>
      <c r="N630" s="976"/>
      <c r="O630" s="976"/>
      <c r="P630" s="976"/>
      <c r="Q630" s="976"/>
      <c r="R630" s="976"/>
      <c r="S630" s="976"/>
      <c r="T630" s="976"/>
      <c r="U630" s="976"/>
      <c r="V630" s="976"/>
      <c r="W630" s="976"/>
      <c r="X630" s="976"/>
      <c r="Y630" s="976"/>
      <c r="Z630" s="976"/>
    </row>
    <row r="631" spans="1:26" ht="15" x14ac:dyDescent="0.25">
      <c r="A631" s="976"/>
      <c r="B631" s="976"/>
      <c r="C631" s="976"/>
      <c r="D631" s="976"/>
      <c r="E631" s="976"/>
      <c r="F631" s="976"/>
      <c r="G631" s="976"/>
      <c r="H631" s="976"/>
      <c r="I631" s="976"/>
      <c r="J631" s="976"/>
      <c r="K631" s="976"/>
      <c r="L631" s="976"/>
      <c r="M631" s="976"/>
      <c r="N631" s="976"/>
      <c r="O631" s="976"/>
      <c r="P631" s="976"/>
      <c r="Q631" s="976"/>
      <c r="R631" s="976"/>
      <c r="S631" s="976"/>
      <c r="T631" s="976"/>
      <c r="U631" s="976"/>
      <c r="V631" s="976"/>
      <c r="W631" s="976"/>
      <c r="X631" s="976"/>
      <c r="Y631" s="976"/>
      <c r="Z631" s="976"/>
    </row>
    <row r="632" spans="1:26" ht="15" x14ac:dyDescent="0.25">
      <c r="A632" s="976"/>
      <c r="B632" s="976"/>
      <c r="C632" s="976"/>
      <c r="D632" s="976"/>
      <c r="E632" s="976"/>
      <c r="F632" s="976"/>
      <c r="G632" s="976"/>
      <c r="H632" s="976"/>
      <c r="I632" s="976"/>
      <c r="J632" s="976"/>
      <c r="K632" s="976"/>
      <c r="L632" s="976"/>
      <c r="M632" s="976"/>
      <c r="N632" s="976"/>
      <c r="O632" s="976"/>
      <c r="P632" s="976"/>
      <c r="Q632" s="976"/>
      <c r="R632" s="976"/>
      <c r="S632" s="976"/>
      <c r="T632" s="976"/>
      <c r="U632" s="976"/>
      <c r="V632" s="976"/>
      <c r="W632" s="976"/>
      <c r="X632" s="976"/>
      <c r="Y632" s="976"/>
      <c r="Z632" s="976"/>
    </row>
    <row r="633" spans="1:26" ht="15" x14ac:dyDescent="0.25">
      <c r="A633" s="976"/>
      <c r="B633" s="976"/>
      <c r="C633" s="976"/>
      <c r="D633" s="976"/>
      <c r="E633" s="976"/>
      <c r="F633" s="976"/>
      <c r="G633" s="976"/>
      <c r="H633" s="976"/>
      <c r="I633" s="976"/>
      <c r="J633" s="976"/>
      <c r="K633" s="976"/>
      <c r="L633" s="976"/>
      <c r="M633" s="976"/>
      <c r="N633" s="976"/>
      <c r="O633" s="976"/>
      <c r="P633" s="976"/>
      <c r="Q633" s="976"/>
      <c r="R633" s="976"/>
      <c r="S633" s="976"/>
      <c r="T633" s="976"/>
      <c r="U633" s="976"/>
      <c r="V633" s="976"/>
      <c r="W633" s="976"/>
      <c r="X633" s="976"/>
      <c r="Y633" s="976"/>
      <c r="Z633" s="976"/>
    </row>
    <row r="634" spans="1:26" ht="15" x14ac:dyDescent="0.25">
      <c r="A634" s="976"/>
      <c r="B634" s="976"/>
      <c r="C634" s="976"/>
      <c r="D634" s="976"/>
      <c r="E634" s="976"/>
      <c r="F634" s="976"/>
      <c r="G634" s="976"/>
      <c r="H634" s="976"/>
      <c r="I634" s="976"/>
      <c r="J634" s="976"/>
      <c r="K634" s="976"/>
      <c r="L634" s="976"/>
      <c r="M634" s="976"/>
      <c r="N634" s="976"/>
      <c r="O634" s="976"/>
      <c r="P634" s="976"/>
      <c r="Q634" s="976"/>
      <c r="R634" s="976"/>
      <c r="S634" s="976"/>
      <c r="T634" s="976"/>
      <c r="U634" s="976"/>
      <c r="V634" s="976"/>
      <c r="W634" s="976"/>
      <c r="X634" s="976"/>
      <c r="Y634" s="976"/>
      <c r="Z634" s="976"/>
    </row>
    <row r="635" spans="1:26" ht="15" x14ac:dyDescent="0.25">
      <c r="A635" s="976"/>
      <c r="B635" s="976"/>
      <c r="C635" s="976"/>
      <c r="D635" s="976"/>
      <c r="E635" s="976"/>
      <c r="F635" s="976"/>
      <c r="G635" s="976"/>
      <c r="H635" s="976"/>
      <c r="I635" s="976"/>
      <c r="J635" s="976"/>
      <c r="K635" s="976"/>
      <c r="L635" s="976"/>
      <c r="M635" s="976"/>
      <c r="N635" s="976"/>
      <c r="O635" s="976"/>
      <c r="P635" s="976"/>
      <c r="Q635" s="976"/>
      <c r="R635" s="976"/>
      <c r="S635" s="976"/>
      <c r="T635" s="976"/>
      <c r="U635" s="976"/>
      <c r="V635" s="976"/>
      <c r="W635" s="976"/>
      <c r="X635" s="976"/>
      <c r="Y635" s="976"/>
      <c r="Z635" s="976"/>
    </row>
    <row r="636" spans="1:26" ht="15" x14ac:dyDescent="0.25">
      <c r="A636" s="976"/>
      <c r="B636" s="976"/>
      <c r="C636" s="976"/>
      <c r="D636" s="976"/>
      <c r="E636" s="976"/>
      <c r="F636" s="976"/>
      <c r="G636" s="976"/>
      <c r="H636" s="976"/>
      <c r="I636" s="976"/>
      <c r="J636" s="976"/>
      <c r="K636" s="976"/>
      <c r="L636" s="976"/>
      <c r="M636" s="976"/>
      <c r="N636" s="976"/>
      <c r="O636" s="976"/>
      <c r="P636" s="976"/>
      <c r="Q636" s="976"/>
      <c r="R636" s="976"/>
      <c r="S636" s="976"/>
      <c r="T636" s="976"/>
      <c r="U636" s="976"/>
      <c r="V636" s="976"/>
      <c r="W636" s="976"/>
      <c r="X636" s="976"/>
      <c r="Y636" s="976"/>
      <c r="Z636" s="976"/>
    </row>
    <row r="637" spans="1:26" ht="15" x14ac:dyDescent="0.25">
      <c r="A637" s="976"/>
      <c r="B637" s="976"/>
      <c r="C637" s="976"/>
      <c r="D637" s="976"/>
      <c r="E637" s="976"/>
      <c r="F637" s="976"/>
      <c r="G637" s="976"/>
      <c r="H637" s="976"/>
      <c r="I637" s="976"/>
      <c r="J637" s="976"/>
      <c r="K637" s="976"/>
      <c r="L637" s="976"/>
      <c r="M637" s="976"/>
      <c r="N637" s="976"/>
      <c r="O637" s="976"/>
      <c r="P637" s="976"/>
      <c r="Q637" s="976"/>
      <c r="R637" s="976"/>
      <c r="S637" s="976"/>
      <c r="T637" s="976"/>
      <c r="U637" s="976"/>
      <c r="V637" s="976"/>
      <c r="W637" s="976"/>
      <c r="X637" s="976"/>
      <c r="Y637" s="976"/>
      <c r="Z637" s="976"/>
    </row>
    <row r="638" spans="1:26" ht="15" x14ac:dyDescent="0.25">
      <c r="A638" s="976"/>
      <c r="B638" s="976"/>
      <c r="C638" s="976"/>
      <c r="D638" s="976"/>
      <c r="E638" s="976"/>
      <c r="F638" s="976"/>
      <c r="G638" s="976"/>
      <c r="H638" s="976"/>
      <c r="I638" s="976"/>
      <c r="J638" s="976"/>
      <c r="K638" s="976"/>
      <c r="L638" s="976"/>
      <c r="M638" s="976"/>
      <c r="N638" s="976"/>
      <c r="O638" s="976"/>
      <c r="P638" s="976"/>
      <c r="Q638" s="976"/>
      <c r="R638" s="976"/>
      <c r="S638" s="976"/>
      <c r="T638" s="976"/>
      <c r="U638" s="976"/>
      <c r="V638" s="976"/>
      <c r="W638" s="976"/>
      <c r="X638" s="976"/>
      <c r="Y638" s="976"/>
      <c r="Z638" s="976"/>
    </row>
    <row r="639" spans="1:26" ht="15" x14ac:dyDescent="0.25">
      <c r="A639" s="976"/>
      <c r="B639" s="976"/>
      <c r="C639" s="976"/>
      <c r="D639" s="976"/>
      <c r="E639" s="976"/>
      <c r="F639" s="976"/>
      <c r="G639" s="976"/>
      <c r="H639" s="976"/>
      <c r="I639" s="976"/>
      <c r="J639" s="976"/>
      <c r="K639" s="976"/>
      <c r="L639" s="976"/>
      <c r="M639" s="976"/>
      <c r="N639" s="976"/>
      <c r="O639" s="976"/>
      <c r="P639" s="976"/>
      <c r="Q639" s="976"/>
      <c r="R639" s="976"/>
      <c r="S639" s="976"/>
      <c r="T639" s="976"/>
      <c r="U639" s="976"/>
      <c r="V639" s="976"/>
      <c r="W639" s="976"/>
      <c r="X639" s="976"/>
      <c r="Y639" s="976"/>
      <c r="Z639" s="976"/>
    </row>
    <row r="640" spans="1:26" ht="15" x14ac:dyDescent="0.25">
      <c r="A640" s="976"/>
      <c r="B640" s="976"/>
      <c r="C640" s="976"/>
      <c r="D640" s="976"/>
      <c r="E640" s="976"/>
      <c r="F640" s="976"/>
      <c r="G640" s="976"/>
      <c r="H640" s="976"/>
      <c r="I640" s="976"/>
      <c r="J640" s="976"/>
      <c r="K640" s="976"/>
      <c r="L640" s="976"/>
      <c r="M640" s="976"/>
      <c r="N640" s="976"/>
      <c r="O640" s="976"/>
      <c r="P640" s="976"/>
      <c r="Q640" s="976"/>
      <c r="R640" s="976"/>
      <c r="S640" s="976"/>
      <c r="T640" s="976"/>
      <c r="U640" s="976"/>
      <c r="V640" s="976"/>
      <c r="W640" s="976"/>
      <c r="X640" s="976"/>
      <c r="Y640" s="976"/>
      <c r="Z640" s="976"/>
    </row>
    <row r="641" spans="1:26" ht="15" x14ac:dyDescent="0.25">
      <c r="A641" s="976"/>
      <c r="B641" s="976"/>
      <c r="C641" s="976"/>
      <c r="D641" s="976"/>
      <c r="E641" s="976"/>
      <c r="F641" s="976"/>
      <c r="G641" s="976"/>
      <c r="H641" s="976"/>
      <c r="I641" s="976"/>
      <c r="J641" s="976"/>
      <c r="K641" s="976"/>
      <c r="L641" s="976"/>
      <c r="M641" s="976"/>
      <c r="N641" s="976"/>
      <c r="O641" s="976"/>
      <c r="P641" s="976"/>
      <c r="Q641" s="976"/>
      <c r="R641" s="976"/>
      <c r="S641" s="976"/>
      <c r="T641" s="976"/>
      <c r="U641" s="976"/>
      <c r="V641" s="976"/>
      <c r="W641" s="976"/>
      <c r="X641" s="976"/>
      <c r="Y641" s="976"/>
      <c r="Z641" s="976"/>
    </row>
    <row r="642" spans="1:26" ht="15" x14ac:dyDescent="0.25">
      <c r="A642" s="976"/>
      <c r="B642" s="976"/>
      <c r="C642" s="976"/>
      <c r="D642" s="976"/>
      <c r="E642" s="976"/>
      <c r="F642" s="976"/>
      <c r="G642" s="976"/>
      <c r="H642" s="976"/>
      <c r="I642" s="976"/>
      <c r="J642" s="976"/>
      <c r="K642" s="976"/>
      <c r="L642" s="976"/>
      <c r="M642" s="976"/>
      <c r="N642" s="976"/>
      <c r="O642" s="976"/>
      <c r="P642" s="976"/>
      <c r="Q642" s="976"/>
      <c r="R642" s="976"/>
      <c r="S642" s="976"/>
      <c r="T642" s="976"/>
      <c r="U642" s="976"/>
      <c r="V642" s="976"/>
      <c r="W642" s="976"/>
      <c r="X642" s="976"/>
      <c r="Y642" s="976"/>
      <c r="Z642" s="976"/>
    </row>
    <row r="643" spans="1:26" ht="15" x14ac:dyDescent="0.25">
      <c r="A643" s="976"/>
      <c r="B643" s="976"/>
      <c r="C643" s="976"/>
      <c r="D643" s="976"/>
      <c r="E643" s="976"/>
      <c r="F643" s="976"/>
      <c r="G643" s="976"/>
      <c r="H643" s="976"/>
      <c r="I643" s="976"/>
      <c r="J643" s="976"/>
      <c r="K643" s="976"/>
      <c r="L643" s="976"/>
      <c r="M643" s="976"/>
      <c r="N643" s="976"/>
      <c r="O643" s="976"/>
      <c r="P643" s="976"/>
      <c r="Q643" s="976"/>
      <c r="R643" s="976"/>
      <c r="S643" s="976"/>
      <c r="T643" s="976"/>
      <c r="U643" s="976"/>
      <c r="V643" s="976"/>
      <c r="W643" s="976"/>
      <c r="X643" s="976"/>
      <c r="Y643" s="976"/>
      <c r="Z643" s="976"/>
    </row>
    <row r="644" spans="1:26" ht="15" x14ac:dyDescent="0.25">
      <c r="A644" s="976"/>
      <c r="B644" s="976"/>
      <c r="C644" s="976"/>
      <c r="D644" s="976"/>
      <c r="E644" s="976"/>
      <c r="F644" s="976"/>
      <c r="G644" s="976"/>
      <c r="H644" s="976"/>
      <c r="I644" s="976"/>
      <c r="J644" s="976"/>
      <c r="K644" s="976"/>
      <c r="L644" s="976"/>
      <c r="M644" s="976"/>
      <c r="N644" s="976"/>
      <c r="O644" s="976"/>
      <c r="P644" s="976"/>
      <c r="Q644" s="976"/>
      <c r="R644" s="976"/>
      <c r="S644" s="976"/>
      <c r="T644" s="976"/>
      <c r="U644" s="976"/>
      <c r="V644" s="976"/>
      <c r="W644" s="976"/>
      <c r="X644" s="976"/>
      <c r="Y644" s="976"/>
      <c r="Z644" s="976"/>
    </row>
    <row r="645" spans="1:26" ht="15" x14ac:dyDescent="0.25">
      <c r="A645" s="976"/>
      <c r="B645" s="976"/>
      <c r="C645" s="976"/>
      <c r="D645" s="976"/>
      <c r="E645" s="976"/>
      <c r="F645" s="976"/>
      <c r="G645" s="976"/>
      <c r="H645" s="976"/>
      <c r="I645" s="976"/>
      <c r="J645" s="976"/>
      <c r="K645" s="976"/>
      <c r="L645" s="976"/>
      <c r="M645" s="976"/>
      <c r="N645" s="976"/>
      <c r="O645" s="976"/>
      <c r="P645" s="976"/>
      <c r="Q645" s="976"/>
      <c r="R645" s="976"/>
      <c r="S645" s="976"/>
      <c r="T645" s="976"/>
      <c r="U645" s="976"/>
      <c r="V645" s="976"/>
      <c r="W645" s="976"/>
      <c r="X645" s="976"/>
      <c r="Y645" s="976"/>
      <c r="Z645" s="976"/>
    </row>
    <row r="646" spans="1:26" ht="15" x14ac:dyDescent="0.25">
      <c r="A646" s="976"/>
      <c r="B646" s="976"/>
      <c r="C646" s="976"/>
      <c r="D646" s="976"/>
      <c r="E646" s="976"/>
      <c r="F646" s="976"/>
      <c r="G646" s="976"/>
      <c r="H646" s="976"/>
      <c r="I646" s="976"/>
      <c r="J646" s="976"/>
      <c r="K646" s="976"/>
      <c r="L646" s="976"/>
      <c r="M646" s="976"/>
      <c r="N646" s="976"/>
      <c r="O646" s="976"/>
      <c r="P646" s="976"/>
      <c r="Q646" s="976"/>
      <c r="R646" s="976"/>
      <c r="S646" s="976"/>
      <c r="T646" s="976"/>
      <c r="U646" s="976"/>
      <c r="V646" s="976"/>
      <c r="W646" s="976"/>
      <c r="X646" s="976"/>
      <c r="Y646" s="976"/>
      <c r="Z646" s="976"/>
    </row>
    <row r="647" spans="1:26" ht="15" x14ac:dyDescent="0.25">
      <c r="A647" s="976"/>
      <c r="B647" s="976"/>
      <c r="C647" s="976"/>
      <c r="D647" s="976"/>
      <c r="E647" s="976"/>
      <c r="F647" s="976"/>
      <c r="G647" s="976"/>
      <c r="H647" s="976"/>
      <c r="I647" s="976"/>
      <c r="J647" s="976"/>
      <c r="K647" s="976"/>
      <c r="L647" s="976"/>
      <c r="M647" s="976"/>
      <c r="N647" s="976"/>
      <c r="O647" s="976"/>
      <c r="P647" s="976"/>
      <c r="Q647" s="976"/>
      <c r="R647" s="976"/>
      <c r="S647" s="976"/>
      <c r="T647" s="976"/>
      <c r="U647" s="976"/>
      <c r="V647" s="976"/>
      <c r="W647" s="976"/>
      <c r="X647" s="976"/>
      <c r="Y647" s="976"/>
      <c r="Z647" s="976"/>
    </row>
    <row r="648" spans="1:26" ht="15" x14ac:dyDescent="0.25">
      <c r="A648" s="976"/>
      <c r="B648" s="976"/>
      <c r="C648" s="976"/>
      <c r="D648" s="976"/>
      <c r="E648" s="976"/>
      <c r="F648" s="976"/>
      <c r="G648" s="976"/>
      <c r="H648" s="976"/>
      <c r="I648" s="976"/>
      <c r="J648" s="976"/>
      <c r="K648" s="976"/>
      <c r="L648" s="976"/>
      <c r="M648" s="976"/>
      <c r="N648" s="976"/>
      <c r="O648" s="976"/>
      <c r="P648" s="976"/>
      <c r="Q648" s="976"/>
      <c r="R648" s="976"/>
      <c r="S648" s="976"/>
      <c r="T648" s="976"/>
      <c r="U648" s="976"/>
      <c r="V648" s="976"/>
      <c r="W648" s="976"/>
      <c r="X648" s="976"/>
      <c r="Y648" s="976"/>
      <c r="Z648" s="976"/>
    </row>
    <row r="649" spans="1:26" ht="15" x14ac:dyDescent="0.25">
      <c r="A649" s="976"/>
      <c r="B649" s="976"/>
      <c r="C649" s="976"/>
      <c r="D649" s="976"/>
      <c r="E649" s="976"/>
      <c r="F649" s="976"/>
      <c r="G649" s="976"/>
      <c r="H649" s="976"/>
      <c r="I649" s="976"/>
      <c r="J649" s="976"/>
      <c r="K649" s="976"/>
      <c r="L649" s="976"/>
      <c r="M649" s="976"/>
      <c r="N649" s="976"/>
      <c r="O649" s="976"/>
      <c r="P649" s="976"/>
      <c r="Q649" s="976"/>
      <c r="R649" s="976"/>
      <c r="S649" s="976"/>
      <c r="T649" s="976"/>
      <c r="U649" s="976"/>
      <c r="V649" s="976"/>
      <c r="W649" s="976"/>
      <c r="X649" s="976"/>
      <c r="Y649" s="976"/>
      <c r="Z649" s="976"/>
    </row>
    <row r="650" spans="1:26" ht="15" x14ac:dyDescent="0.25">
      <c r="A650" s="976"/>
      <c r="B650" s="976"/>
      <c r="C650" s="976"/>
      <c r="D650" s="976"/>
      <c r="E650" s="976"/>
      <c r="F650" s="976"/>
      <c r="G650" s="976"/>
      <c r="H650" s="976"/>
      <c r="I650" s="976"/>
      <c r="J650" s="976"/>
      <c r="K650" s="976"/>
      <c r="L650" s="976"/>
      <c r="M650" s="976"/>
      <c r="N650" s="976"/>
      <c r="O650" s="976"/>
      <c r="P650" s="976"/>
      <c r="Q650" s="976"/>
      <c r="R650" s="976"/>
      <c r="S650" s="976"/>
      <c r="T650" s="976"/>
      <c r="U650" s="976"/>
      <c r="V650" s="976"/>
      <c r="W650" s="976"/>
      <c r="X650" s="976"/>
      <c r="Y650" s="976"/>
      <c r="Z650" s="976"/>
    </row>
    <row r="651" spans="1:26" ht="15" x14ac:dyDescent="0.25">
      <c r="A651" s="976"/>
      <c r="B651" s="976"/>
      <c r="C651" s="976"/>
      <c r="D651" s="976"/>
      <c r="E651" s="976"/>
      <c r="F651" s="976"/>
      <c r="G651" s="976"/>
      <c r="H651" s="976"/>
      <c r="I651" s="976"/>
      <c r="J651" s="976"/>
      <c r="K651" s="976"/>
      <c r="L651" s="976"/>
      <c r="M651" s="976"/>
      <c r="N651" s="976"/>
      <c r="O651" s="976"/>
      <c r="P651" s="976"/>
      <c r="Q651" s="976"/>
      <c r="R651" s="976"/>
      <c r="S651" s="976"/>
      <c r="T651" s="976"/>
      <c r="U651" s="976"/>
      <c r="V651" s="976"/>
      <c r="W651" s="976"/>
      <c r="X651" s="976"/>
      <c r="Y651" s="976"/>
      <c r="Z651" s="976"/>
    </row>
    <row r="652" spans="1:26" ht="15" x14ac:dyDescent="0.25">
      <c r="A652" s="976"/>
      <c r="B652" s="976"/>
      <c r="C652" s="976"/>
      <c r="D652" s="976"/>
      <c r="E652" s="976"/>
      <c r="F652" s="976"/>
      <c r="G652" s="976"/>
      <c r="H652" s="976"/>
      <c r="I652" s="976"/>
      <c r="J652" s="976"/>
      <c r="K652" s="976"/>
      <c r="L652" s="976"/>
      <c r="M652" s="976"/>
      <c r="N652" s="976"/>
      <c r="O652" s="976"/>
      <c r="P652" s="976"/>
      <c r="Q652" s="976"/>
      <c r="R652" s="976"/>
      <c r="S652" s="976"/>
      <c r="T652" s="976"/>
      <c r="U652" s="976"/>
      <c r="V652" s="976"/>
      <c r="W652" s="976"/>
      <c r="X652" s="976"/>
      <c r="Y652" s="976"/>
      <c r="Z652" s="976"/>
    </row>
    <row r="653" spans="1:26" ht="15" x14ac:dyDescent="0.25">
      <c r="A653" s="976"/>
      <c r="B653" s="976"/>
      <c r="C653" s="976"/>
      <c r="D653" s="976"/>
      <c r="E653" s="976"/>
      <c r="F653" s="976"/>
      <c r="G653" s="976"/>
      <c r="H653" s="976"/>
      <c r="I653" s="976"/>
      <c r="J653" s="976"/>
      <c r="K653" s="976"/>
      <c r="L653" s="976"/>
      <c r="M653" s="976"/>
      <c r="N653" s="976"/>
      <c r="O653" s="976"/>
      <c r="P653" s="976"/>
      <c r="Q653" s="976"/>
      <c r="R653" s="976"/>
      <c r="S653" s="976"/>
      <c r="T653" s="976"/>
      <c r="U653" s="976"/>
      <c r="V653" s="976"/>
      <c r="W653" s="976"/>
      <c r="X653" s="976"/>
      <c r="Y653" s="976"/>
      <c r="Z653" s="976"/>
    </row>
    <row r="654" spans="1:26" ht="15" x14ac:dyDescent="0.25">
      <c r="A654" s="976"/>
      <c r="B654" s="976"/>
      <c r="C654" s="976"/>
      <c r="D654" s="976"/>
      <c r="E654" s="976"/>
      <c r="F654" s="976"/>
      <c r="G654" s="976"/>
      <c r="H654" s="976"/>
      <c r="I654" s="976"/>
      <c r="J654" s="976"/>
      <c r="K654" s="976"/>
      <c r="L654" s="976"/>
      <c r="M654" s="976"/>
      <c r="N654" s="976"/>
      <c r="O654" s="976"/>
      <c r="P654" s="976"/>
      <c r="Q654" s="976"/>
      <c r="R654" s="976"/>
      <c r="S654" s="976"/>
      <c r="T654" s="976"/>
      <c r="U654" s="976"/>
      <c r="V654" s="976"/>
      <c r="W654" s="976"/>
      <c r="X654" s="976"/>
      <c r="Y654" s="976"/>
      <c r="Z654" s="976"/>
    </row>
    <row r="655" spans="1:26" ht="15" x14ac:dyDescent="0.25">
      <c r="A655" s="976"/>
      <c r="B655" s="976"/>
      <c r="C655" s="976"/>
      <c r="D655" s="976"/>
      <c r="E655" s="976"/>
      <c r="F655" s="976"/>
      <c r="G655" s="976"/>
      <c r="H655" s="976"/>
      <c r="I655" s="976"/>
      <c r="J655" s="976"/>
      <c r="K655" s="976"/>
      <c r="L655" s="976"/>
      <c r="M655" s="976"/>
      <c r="N655" s="976"/>
      <c r="O655" s="976"/>
      <c r="P655" s="976"/>
      <c r="Q655" s="976"/>
      <c r="R655" s="976"/>
      <c r="S655" s="976"/>
      <c r="T655" s="976"/>
      <c r="U655" s="976"/>
      <c r="V655" s="976"/>
      <c r="W655" s="976"/>
      <c r="X655" s="976"/>
      <c r="Y655" s="976"/>
      <c r="Z655" s="976"/>
    </row>
    <row r="656" spans="1:26" ht="15" x14ac:dyDescent="0.25">
      <c r="A656" s="976"/>
      <c r="B656" s="976"/>
      <c r="C656" s="976"/>
      <c r="D656" s="976"/>
      <c r="E656" s="976"/>
      <c r="F656" s="976"/>
      <c r="G656" s="976"/>
      <c r="H656" s="976"/>
      <c r="I656" s="976"/>
      <c r="J656" s="976"/>
      <c r="K656" s="976"/>
      <c r="L656" s="976"/>
      <c r="M656" s="976"/>
      <c r="N656" s="976"/>
      <c r="O656" s="976"/>
      <c r="P656" s="976"/>
      <c r="Q656" s="976"/>
      <c r="R656" s="976"/>
      <c r="S656" s="976"/>
      <c r="T656" s="976"/>
      <c r="U656" s="976"/>
      <c r="V656" s="976"/>
      <c r="W656" s="976"/>
      <c r="X656" s="976"/>
      <c r="Y656" s="976"/>
      <c r="Z656" s="976"/>
    </row>
    <row r="657" spans="1:26" ht="15" x14ac:dyDescent="0.25">
      <c r="A657" s="976"/>
      <c r="B657" s="976"/>
      <c r="C657" s="976"/>
      <c r="D657" s="976"/>
      <c r="E657" s="976"/>
      <c r="F657" s="976"/>
      <c r="G657" s="976"/>
      <c r="H657" s="976"/>
      <c r="I657" s="976"/>
      <c r="J657" s="976"/>
      <c r="K657" s="976"/>
      <c r="L657" s="976"/>
      <c r="M657" s="976"/>
      <c r="N657" s="976"/>
      <c r="O657" s="976"/>
      <c r="P657" s="976"/>
      <c r="Q657" s="976"/>
      <c r="R657" s="976"/>
      <c r="S657" s="976"/>
      <c r="T657" s="976"/>
      <c r="U657" s="976"/>
      <c r="V657" s="976"/>
      <c r="W657" s="976"/>
      <c r="X657" s="976"/>
      <c r="Y657" s="976"/>
      <c r="Z657" s="976"/>
    </row>
    <row r="658" spans="1:26" ht="15" x14ac:dyDescent="0.25">
      <c r="A658" s="976"/>
      <c r="B658" s="976"/>
      <c r="C658" s="976"/>
      <c r="D658" s="976"/>
      <c r="E658" s="976"/>
      <c r="F658" s="976"/>
      <c r="G658" s="976"/>
      <c r="H658" s="976"/>
      <c r="I658" s="976"/>
      <c r="J658" s="976"/>
      <c r="K658" s="976"/>
      <c r="L658" s="976"/>
      <c r="M658" s="976"/>
      <c r="N658" s="976"/>
      <c r="O658" s="976"/>
      <c r="P658" s="976"/>
      <c r="Q658" s="976"/>
      <c r="R658" s="976"/>
      <c r="S658" s="976"/>
      <c r="T658" s="976"/>
      <c r="U658" s="976"/>
      <c r="V658" s="976"/>
      <c r="W658" s="976"/>
      <c r="X658" s="976"/>
      <c r="Y658" s="976"/>
      <c r="Z658" s="976"/>
    </row>
    <row r="659" spans="1:26" ht="15" x14ac:dyDescent="0.25">
      <c r="A659" s="976"/>
      <c r="B659" s="976"/>
      <c r="C659" s="976"/>
      <c r="D659" s="976"/>
      <c r="E659" s="976"/>
      <c r="F659" s="976"/>
      <c r="G659" s="976"/>
      <c r="H659" s="976"/>
      <c r="I659" s="976"/>
      <c r="J659" s="976"/>
      <c r="K659" s="976"/>
      <c r="L659" s="976"/>
      <c r="M659" s="976"/>
      <c r="N659" s="976"/>
      <c r="O659" s="976"/>
      <c r="P659" s="976"/>
      <c r="Q659" s="976"/>
      <c r="R659" s="976"/>
      <c r="S659" s="976"/>
      <c r="T659" s="976"/>
      <c r="U659" s="976"/>
      <c r="V659" s="976"/>
      <c r="W659" s="976"/>
      <c r="X659" s="976"/>
      <c r="Y659" s="976"/>
      <c r="Z659" s="976"/>
    </row>
    <row r="660" spans="1:26" ht="15" x14ac:dyDescent="0.25">
      <c r="A660" s="976"/>
      <c r="B660" s="976"/>
      <c r="C660" s="976"/>
      <c r="D660" s="976"/>
      <c r="E660" s="976"/>
      <c r="F660" s="976"/>
      <c r="G660" s="976"/>
      <c r="H660" s="976"/>
      <c r="I660" s="976"/>
      <c r="J660" s="976"/>
      <c r="K660" s="976"/>
      <c r="L660" s="976"/>
      <c r="M660" s="976"/>
      <c r="N660" s="976"/>
      <c r="O660" s="976"/>
      <c r="P660" s="976"/>
      <c r="Q660" s="976"/>
      <c r="R660" s="976"/>
      <c r="S660" s="976"/>
      <c r="T660" s="976"/>
      <c r="U660" s="976"/>
      <c r="V660" s="976"/>
      <c r="W660" s="976"/>
      <c r="X660" s="976"/>
      <c r="Y660" s="976"/>
      <c r="Z660" s="976"/>
    </row>
    <row r="661" spans="1:26" ht="15" x14ac:dyDescent="0.25">
      <c r="A661" s="976"/>
      <c r="B661" s="976"/>
      <c r="C661" s="976"/>
      <c r="D661" s="976"/>
      <c r="E661" s="976"/>
      <c r="F661" s="976"/>
      <c r="G661" s="976"/>
      <c r="H661" s="976"/>
      <c r="I661" s="976"/>
      <c r="J661" s="976"/>
      <c r="K661" s="976"/>
      <c r="L661" s="976"/>
      <c r="M661" s="976"/>
      <c r="N661" s="976"/>
      <c r="O661" s="976"/>
      <c r="P661" s="976"/>
      <c r="Q661" s="976"/>
      <c r="R661" s="976"/>
      <c r="S661" s="976"/>
      <c r="T661" s="976"/>
      <c r="U661" s="976"/>
      <c r="V661" s="976"/>
      <c r="W661" s="976"/>
      <c r="X661" s="976"/>
      <c r="Y661" s="976"/>
      <c r="Z661" s="976"/>
    </row>
    <row r="662" spans="1:26" ht="15" x14ac:dyDescent="0.25">
      <c r="A662" s="976"/>
      <c r="B662" s="976"/>
      <c r="C662" s="976"/>
      <c r="D662" s="976"/>
      <c r="E662" s="976"/>
      <c r="F662" s="976"/>
      <c r="G662" s="976"/>
      <c r="H662" s="976"/>
      <c r="I662" s="976"/>
      <c r="J662" s="976"/>
      <c r="K662" s="976"/>
      <c r="L662" s="976"/>
      <c r="M662" s="976"/>
      <c r="N662" s="976"/>
      <c r="O662" s="976"/>
      <c r="P662" s="976"/>
      <c r="Q662" s="976"/>
      <c r="R662" s="976"/>
      <c r="S662" s="976"/>
      <c r="T662" s="976"/>
      <c r="U662" s="976"/>
      <c r="V662" s="976"/>
      <c r="W662" s="976"/>
      <c r="X662" s="976"/>
      <c r="Y662" s="976"/>
      <c r="Z662" s="976"/>
    </row>
    <row r="663" spans="1:26" ht="15" x14ac:dyDescent="0.25">
      <c r="A663" s="976"/>
      <c r="B663" s="976"/>
      <c r="C663" s="976"/>
      <c r="D663" s="976"/>
      <c r="E663" s="976"/>
      <c r="F663" s="976"/>
      <c r="G663" s="976"/>
      <c r="H663" s="976"/>
      <c r="I663" s="976"/>
      <c r="J663" s="976"/>
      <c r="K663" s="976"/>
      <c r="L663" s="976"/>
      <c r="M663" s="976"/>
      <c r="N663" s="976"/>
      <c r="O663" s="976"/>
      <c r="P663" s="976"/>
      <c r="Q663" s="976"/>
      <c r="R663" s="976"/>
      <c r="S663" s="976"/>
      <c r="T663" s="976"/>
      <c r="U663" s="976"/>
      <c r="V663" s="976"/>
      <c r="W663" s="976"/>
      <c r="X663" s="976"/>
      <c r="Y663" s="976"/>
      <c r="Z663" s="976"/>
    </row>
    <row r="664" spans="1:26" ht="15" x14ac:dyDescent="0.25">
      <c r="A664" s="976"/>
      <c r="B664" s="976"/>
      <c r="C664" s="976"/>
      <c r="D664" s="976"/>
      <c r="E664" s="976"/>
      <c r="F664" s="976"/>
      <c r="G664" s="976"/>
      <c r="H664" s="976"/>
      <c r="I664" s="976"/>
      <c r="J664" s="976"/>
      <c r="K664" s="976"/>
      <c r="L664" s="976"/>
      <c r="M664" s="976"/>
      <c r="N664" s="976"/>
      <c r="O664" s="976"/>
      <c r="P664" s="976"/>
      <c r="Q664" s="976"/>
      <c r="R664" s="976"/>
      <c r="S664" s="976"/>
      <c r="T664" s="976"/>
      <c r="U664" s="976"/>
      <c r="V664" s="976"/>
      <c r="W664" s="976"/>
      <c r="X664" s="976"/>
      <c r="Y664" s="976"/>
      <c r="Z664" s="976"/>
    </row>
    <row r="665" spans="1:26" ht="15" x14ac:dyDescent="0.25">
      <c r="A665" s="976"/>
      <c r="B665" s="976"/>
      <c r="C665" s="976"/>
      <c r="D665" s="976"/>
      <c r="E665" s="976"/>
      <c r="F665" s="976"/>
      <c r="G665" s="976"/>
      <c r="H665" s="976"/>
      <c r="I665" s="976"/>
      <c r="J665" s="976"/>
      <c r="K665" s="976"/>
      <c r="L665" s="976"/>
      <c r="M665" s="976"/>
      <c r="N665" s="976"/>
      <c r="O665" s="976"/>
      <c r="P665" s="976"/>
      <c r="Q665" s="976"/>
      <c r="R665" s="976"/>
      <c r="S665" s="976"/>
      <c r="T665" s="976"/>
      <c r="U665" s="976"/>
      <c r="V665" s="976"/>
      <c r="W665" s="976"/>
      <c r="X665" s="976"/>
      <c r="Y665" s="976"/>
      <c r="Z665" s="976"/>
    </row>
    <row r="666" spans="1:26" ht="15" x14ac:dyDescent="0.25">
      <c r="A666" s="976"/>
      <c r="B666" s="976"/>
      <c r="C666" s="976"/>
      <c r="D666" s="976"/>
      <c r="E666" s="976"/>
      <c r="F666" s="976"/>
      <c r="G666" s="976"/>
      <c r="H666" s="976"/>
      <c r="I666" s="976"/>
      <c r="J666" s="976"/>
      <c r="K666" s="976"/>
      <c r="L666" s="976"/>
      <c r="M666" s="976"/>
      <c r="N666" s="976"/>
      <c r="O666" s="976"/>
      <c r="P666" s="976"/>
      <c r="Q666" s="976"/>
      <c r="R666" s="976"/>
      <c r="S666" s="976"/>
      <c r="T666" s="976"/>
      <c r="U666" s="976"/>
      <c r="V666" s="976"/>
      <c r="W666" s="976"/>
      <c r="X666" s="976"/>
      <c r="Y666" s="976"/>
      <c r="Z666" s="976"/>
    </row>
    <row r="667" spans="1:26" ht="15" x14ac:dyDescent="0.25">
      <c r="A667" s="976"/>
      <c r="B667" s="976"/>
      <c r="C667" s="976"/>
      <c r="D667" s="976"/>
      <c r="E667" s="976"/>
      <c r="F667" s="976"/>
      <c r="G667" s="976"/>
      <c r="H667" s="976"/>
      <c r="I667" s="976"/>
      <c r="J667" s="976"/>
      <c r="K667" s="976"/>
      <c r="L667" s="976"/>
      <c r="M667" s="976"/>
      <c r="N667" s="976"/>
      <c r="O667" s="976"/>
      <c r="P667" s="976"/>
      <c r="Q667" s="976"/>
      <c r="R667" s="976"/>
      <c r="S667" s="976"/>
      <c r="T667" s="976"/>
      <c r="U667" s="976"/>
      <c r="V667" s="976"/>
      <c r="W667" s="976"/>
      <c r="X667" s="976"/>
      <c r="Y667" s="976"/>
      <c r="Z667" s="976"/>
    </row>
    <row r="668" spans="1:26" ht="15" x14ac:dyDescent="0.25">
      <c r="A668" s="976"/>
      <c r="B668" s="976"/>
      <c r="C668" s="976"/>
      <c r="D668" s="976"/>
      <c r="E668" s="976"/>
      <c r="F668" s="976"/>
      <c r="G668" s="976"/>
      <c r="H668" s="976"/>
      <c r="I668" s="976"/>
      <c r="J668" s="976"/>
      <c r="K668" s="976"/>
      <c r="L668" s="976"/>
      <c r="M668" s="976"/>
      <c r="N668" s="976"/>
      <c r="O668" s="976"/>
      <c r="P668" s="976"/>
      <c r="Q668" s="976"/>
      <c r="R668" s="976"/>
      <c r="S668" s="976"/>
      <c r="T668" s="976"/>
      <c r="U668" s="976"/>
      <c r="V668" s="976"/>
      <c r="W668" s="976"/>
      <c r="X668" s="976"/>
      <c r="Y668" s="976"/>
      <c r="Z668" s="976"/>
    </row>
    <row r="669" spans="1:26" ht="15" x14ac:dyDescent="0.25">
      <c r="A669" s="976"/>
      <c r="B669" s="976"/>
      <c r="C669" s="976"/>
      <c r="D669" s="976"/>
      <c r="E669" s="976"/>
      <c r="F669" s="976"/>
      <c r="G669" s="976"/>
      <c r="H669" s="976"/>
      <c r="I669" s="976"/>
      <c r="J669" s="976"/>
      <c r="K669" s="976"/>
      <c r="L669" s="976"/>
      <c r="M669" s="976"/>
      <c r="N669" s="976"/>
      <c r="O669" s="976"/>
      <c r="P669" s="976"/>
      <c r="Q669" s="976"/>
      <c r="R669" s="976"/>
      <c r="S669" s="976"/>
      <c r="T669" s="976"/>
      <c r="U669" s="976"/>
      <c r="V669" s="976"/>
      <c r="W669" s="976"/>
      <c r="X669" s="976"/>
      <c r="Y669" s="976"/>
      <c r="Z669" s="976"/>
    </row>
    <row r="670" spans="1:26" ht="15" x14ac:dyDescent="0.25">
      <c r="A670" s="976"/>
      <c r="B670" s="976"/>
      <c r="C670" s="976"/>
      <c r="D670" s="976"/>
      <c r="E670" s="976"/>
      <c r="F670" s="976"/>
      <c r="G670" s="976"/>
      <c r="H670" s="976"/>
      <c r="I670" s="976"/>
      <c r="J670" s="976"/>
      <c r="K670" s="976"/>
      <c r="L670" s="976"/>
      <c r="M670" s="976"/>
      <c r="N670" s="976"/>
      <c r="O670" s="976"/>
      <c r="P670" s="976"/>
      <c r="Q670" s="976"/>
      <c r="R670" s="976"/>
      <c r="S670" s="976"/>
      <c r="T670" s="976"/>
      <c r="U670" s="976"/>
      <c r="V670" s="976"/>
      <c r="W670" s="976"/>
      <c r="X670" s="976"/>
      <c r="Y670" s="976"/>
      <c r="Z670" s="976"/>
    </row>
    <row r="671" spans="1:26" ht="15" x14ac:dyDescent="0.25">
      <c r="A671" s="976"/>
      <c r="B671" s="976"/>
      <c r="C671" s="976"/>
      <c r="D671" s="976"/>
      <c r="E671" s="976"/>
      <c r="F671" s="976"/>
      <c r="G671" s="976"/>
      <c r="H671" s="976"/>
      <c r="I671" s="976"/>
      <c r="J671" s="976"/>
      <c r="K671" s="976"/>
      <c r="L671" s="976"/>
      <c r="M671" s="976"/>
      <c r="N671" s="976"/>
      <c r="O671" s="976"/>
      <c r="P671" s="976"/>
      <c r="Q671" s="976"/>
      <c r="R671" s="976"/>
      <c r="S671" s="976"/>
      <c r="T671" s="976"/>
      <c r="U671" s="976"/>
      <c r="V671" s="976"/>
      <c r="W671" s="976"/>
      <c r="X671" s="976"/>
      <c r="Y671" s="976"/>
      <c r="Z671" s="976"/>
    </row>
    <row r="672" spans="1:26" ht="15" x14ac:dyDescent="0.25">
      <c r="A672" s="976"/>
      <c r="B672" s="976"/>
      <c r="C672" s="976"/>
      <c r="D672" s="976"/>
      <c r="E672" s="976"/>
      <c r="F672" s="976"/>
      <c r="G672" s="976"/>
      <c r="H672" s="976"/>
      <c r="I672" s="976"/>
      <c r="J672" s="976"/>
      <c r="K672" s="976"/>
      <c r="L672" s="976"/>
      <c r="M672" s="976"/>
      <c r="N672" s="976"/>
      <c r="O672" s="976"/>
      <c r="P672" s="976"/>
      <c r="Q672" s="976"/>
      <c r="R672" s="976"/>
      <c r="S672" s="976"/>
      <c r="T672" s="976"/>
      <c r="U672" s="976"/>
      <c r="V672" s="976"/>
      <c r="W672" s="976"/>
      <c r="X672" s="976"/>
      <c r="Y672" s="976"/>
      <c r="Z672" s="976"/>
    </row>
    <row r="673" spans="1:26" ht="15" x14ac:dyDescent="0.25">
      <c r="A673" s="976"/>
      <c r="B673" s="976"/>
      <c r="C673" s="976"/>
      <c r="D673" s="976"/>
      <c r="E673" s="976"/>
      <c r="F673" s="976"/>
      <c r="G673" s="976"/>
      <c r="H673" s="976"/>
      <c r="I673" s="976"/>
      <c r="J673" s="976"/>
      <c r="K673" s="976"/>
      <c r="L673" s="976"/>
      <c r="M673" s="976"/>
      <c r="N673" s="976"/>
      <c r="O673" s="976"/>
      <c r="P673" s="976"/>
      <c r="Q673" s="976"/>
      <c r="R673" s="976"/>
      <c r="S673" s="976"/>
      <c r="T673" s="976"/>
      <c r="U673" s="976"/>
      <c r="V673" s="976"/>
      <c r="W673" s="976"/>
      <c r="X673" s="976"/>
      <c r="Y673" s="976"/>
      <c r="Z673" s="976"/>
    </row>
    <row r="674" spans="1:26" ht="15" x14ac:dyDescent="0.25">
      <c r="A674" s="976"/>
      <c r="B674" s="976"/>
      <c r="C674" s="976"/>
      <c r="D674" s="976"/>
      <c r="E674" s="976"/>
      <c r="F674" s="976"/>
      <c r="G674" s="976"/>
      <c r="H674" s="976"/>
      <c r="I674" s="976"/>
      <c r="J674" s="976"/>
      <c r="K674" s="976"/>
      <c r="L674" s="976"/>
      <c r="M674" s="976"/>
      <c r="N674" s="976"/>
      <c r="O674" s="976"/>
      <c r="P674" s="976"/>
      <c r="Q674" s="976"/>
      <c r="R674" s="976"/>
      <c r="S674" s="976"/>
      <c r="T674" s="976"/>
      <c r="U674" s="976"/>
      <c r="V674" s="976"/>
      <c r="W674" s="976"/>
      <c r="X674" s="976"/>
      <c r="Y674" s="976"/>
      <c r="Z674" s="976"/>
    </row>
    <row r="675" spans="1:26" ht="15" x14ac:dyDescent="0.25">
      <c r="A675" s="976"/>
      <c r="B675" s="976"/>
      <c r="C675" s="976"/>
      <c r="D675" s="976"/>
      <c r="E675" s="976"/>
      <c r="F675" s="976"/>
      <c r="G675" s="976"/>
      <c r="H675" s="976"/>
      <c r="I675" s="976"/>
      <c r="J675" s="976"/>
      <c r="K675" s="976"/>
      <c r="L675" s="976"/>
      <c r="M675" s="976"/>
      <c r="N675" s="976"/>
      <c r="O675" s="976"/>
      <c r="P675" s="976"/>
      <c r="Q675" s="976"/>
      <c r="R675" s="976"/>
      <c r="S675" s="976"/>
      <c r="T675" s="976"/>
      <c r="U675" s="976"/>
      <c r="V675" s="976"/>
      <c r="W675" s="976"/>
      <c r="X675" s="976"/>
      <c r="Y675" s="976"/>
      <c r="Z675" s="976"/>
    </row>
    <row r="676" spans="1:26" ht="15" x14ac:dyDescent="0.25">
      <c r="A676" s="976"/>
      <c r="B676" s="976"/>
      <c r="C676" s="976"/>
      <c r="D676" s="976"/>
      <c r="E676" s="976"/>
      <c r="F676" s="976"/>
      <c r="G676" s="976"/>
      <c r="H676" s="976"/>
      <c r="I676" s="976"/>
      <c r="J676" s="976"/>
      <c r="K676" s="976"/>
      <c r="L676" s="976"/>
      <c r="M676" s="976"/>
      <c r="N676" s="976"/>
      <c r="O676" s="976"/>
      <c r="P676" s="976"/>
      <c r="Q676" s="976"/>
      <c r="R676" s="976"/>
      <c r="S676" s="976"/>
      <c r="T676" s="976"/>
      <c r="U676" s="976"/>
      <c r="V676" s="976"/>
      <c r="W676" s="976"/>
      <c r="X676" s="976"/>
      <c r="Y676" s="976"/>
      <c r="Z676" s="976"/>
    </row>
    <row r="677" spans="1:26" ht="15" x14ac:dyDescent="0.25">
      <c r="A677" s="976"/>
      <c r="B677" s="976"/>
      <c r="C677" s="976"/>
      <c r="D677" s="976"/>
      <c r="E677" s="976"/>
      <c r="F677" s="976"/>
      <c r="G677" s="976"/>
      <c r="H677" s="976"/>
      <c r="I677" s="976"/>
      <c r="J677" s="976"/>
      <c r="K677" s="976"/>
      <c r="L677" s="976"/>
      <c r="M677" s="976"/>
      <c r="N677" s="976"/>
      <c r="O677" s="976"/>
      <c r="P677" s="976"/>
      <c r="Q677" s="976"/>
      <c r="R677" s="976"/>
      <c r="S677" s="976"/>
      <c r="T677" s="976"/>
      <c r="U677" s="976"/>
      <c r="V677" s="976"/>
      <c r="W677" s="976"/>
      <c r="X677" s="976"/>
      <c r="Y677" s="976"/>
      <c r="Z677" s="976"/>
    </row>
    <row r="678" spans="1:26" ht="15" x14ac:dyDescent="0.25">
      <c r="A678" s="976"/>
      <c r="B678" s="976"/>
      <c r="C678" s="976"/>
      <c r="D678" s="976"/>
      <c r="E678" s="976"/>
      <c r="F678" s="976"/>
      <c r="G678" s="976"/>
      <c r="H678" s="976"/>
      <c r="I678" s="976"/>
      <c r="J678" s="976"/>
      <c r="K678" s="976"/>
      <c r="L678" s="976"/>
      <c r="M678" s="976"/>
      <c r="N678" s="976"/>
      <c r="O678" s="976"/>
      <c r="P678" s="976"/>
      <c r="Q678" s="976"/>
      <c r="R678" s="976"/>
      <c r="S678" s="976"/>
      <c r="T678" s="976"/>
      <c r="U678" s="976"/>
      <c r="V678" s="976"/>
      <c r="W678" s="976"/>
      <c r="X678" s="976"/>
      <c r="Y678" s="976"/>
      <c r="Z678" s="976"/>
    </row>
    <row r="679" spans="1:26" ht="15" x14ac:dyDescent="0.25">
      <c r="A679" s="976"/>
      <c r="B679" s="976"/>
      <c r="C679" s="976"/>
      <c r="D679" s="976"/>
      <c r="E679" s="976"/>
      <c r="F679" s="976"/>
      <c r="G679" s="976"/>
      <c r="H679" s="976"/>
      <c r="I679" s="976"/>
      <c r="J679" s="976"/>
      <c r="K679" s="976"/>
      <c r="L679" s="976"/>
      <c r="M679" s="976"/>
      <c r="N679" s="976"/>
      <c r="O679" s="976"/>
      <c r="P679" s="976"/>
      <c r="Q679" s="976"/>
      <c r="R679" s="976"/>
      <c r="S679" s="976"/>
      <c r="T679" s="976"/>
      <c r="U679" s="976"/>
      <c r="V679" s="976"/>
      <c r="W679" s="976"/>
      <c r="X679" s="976"/>
      <c r="Y679" s="976"/>
      <c r="Z679" s="976"/>
    </row>
    <row r="680" spans="1:26" ht="15" x14ac:dyDescent="0.25">
      <c r="A680" s="976"/>
      <c r="B680" s="976"/>
      <c r="C680" s="976"/>
      <c r="D680" s="976"/>
      <c r="E680" s="976"/>
      <c r="F680" s="976"/>
      <c r="G680" s="976"/>
      <c r="H680" s="976"/>
      <c r="I680" s="976"/>
      <c r="J680" s="976"/>
      <c r="K680" s="976"/>
      <c r="L680" s="976"/>
      <c r="M680" s="976"/>
      <c r="N680" s="976"/>
      <c r="O680" s="976"/>
      <c r="P680" s="976"/>
      <c r="Q680" s="976"/>
      <c r="R680" s="976"/>
      <c r="S680" s="976"/>
      <c r="T680" s="976"/>
      <c r="U680" s="976"/>
      <c r="V680" s="976"/>
      <c r="W680" s="976"/>
      <c r="X680" s="976"/>
      <c r="Y680" s="976"/>
      <c r="Z680" s="976"/>
    </row>
    <row r="681" spans="1:26" ht="15" x14ac:dyDescent="0.25">
      <c r="A681" s="976"/>
      <c r="B681" s="976"/>
      <c r="C681" s="976"/>
      <c r="D681" s="976"/>
      <c r="E681" s="976"/>
      <c r="F681" s="976"/>
      <c r="G681" s="976"/>
      <c r="H681" s="976"/>
      <c r="I681" s="976"/>
      <c r="J681" s="976"/>
      <c r="K681" s="976"/>
      <c r="L681" s="976"/>
      <c r="M681" s="976"/>
      <c r="N681" s="976"/>
      <c r="O681" s="976"/>
      <c r="P681" s="976"/>
      <c r="Q681" s="976"/>
      <c r="R681" s="976"/>
      <c r="S681" s="976"/>
      <c r="T681" s="976"/>
      <c r="U681" s="976"/>
      <c r="V681" s="976"/>
      <c r="W681" s="976"/>
      <c r="X681" s="976"/>
      <c r="Y681" s="976"/>
      <c r="Z681" s="976"/>
    </row>
    <row r="682" spans="1:26" ht="15" x14ac:dyDescent="0.25">
      <c r="A682" s="976"/>
      <c r="B682" s="976"/>
      <c r="C682" s="976"/>
      <c r="D682" s="976"/>
      <c r="E682" s="976"/>
      <c r="F682" s="976"/>
      <c r="G682" s="976"/>
      <c r="H682" s="976"/>
      <c r="I682" s="976"/>
      <c r="J682" s="976"/>
      <c r="K682" s="976"/>
      <c r="L682" s="976"/>
      <c r="M682" s="976"/>
      <c r="N682" s="976"/>
      <c r="O682" s="976"/>
      <c r="P682" s="976"/>
      <c r="Q682" s="976"/>
      <c r="R682" s="976"/>
      <c r="S682" s="976"/>
      <c r="T682" s="976"/>
      <c r="U682" s="976"/>
      <c r="V682" s="976"/>
      <c r="W682" s="976"/>
      <c r="X682" s="976"/>
      <c r="Y682" s="976"/>
      <c r="Z682" s="976"/>
    </row>
    <row r="683" spans="1:26" ht="15" x14ac:dyDescent="0.25">
      <c r="A683" s="976"/>
      <c r="B683" s="976"/>
      <c r="C683" s="976"/>
      <c r="D683" s="976"/>
      <c r="E683" s="976"/>
      <c r="F683" s="976"/>
      <c r="G683" s="976"/>
      <c r="H683" s="976"/>
      <c r="I683" s="976"/>
      <c r="J683" s="976"/>
      <c r="K683" s="976"/>
      <c r="L683" s="976"/>
      <c r="M683" s="976"/>
      <c r="N683" s="976"/>
      <c r="O683" s="976"/>
      <c r="P683" s="976"/>
      <c r="Q683" s="976"/>
      <c r="R683" s="976"/>
      <c r="S683" s="976"/>
      <c r="T683" s="976"/>
      <c r="U683" s="976"/>
      <c r="V683" s="976"/>
      <c r="W683" s="976"/>
      <c r="X683" s="976"/>
      <c r="Y683" s="976"/>
      <c r="Z683" s="976"/>
    </row>
    <row r="684" spans="1:26" ht="15" x14ac:dyDescent="0.25">
      <c r="A684" s="976"/>
      <c r="B684" s="976"/>
      <c r="C684" s="976"/>
      <c r="D684" s="976"/>
      <c r="E684" s="976"/>
      <c r="F684" s="976"/>
      <c r="G684" s="976"/>
      <c r="H684" s="976"/>
      <c r="I684" s="976"/>
      <c r="J684" s="976"/>
      <c r="K684" s="976"/>
      <c r="L684" s="976"/>
      <c r="M684" s="976"/>
      <c r="N684" s="976"/>
      <c r="O684" s="976"/>
      <c r="P684" s="976"/>
      <c r="Q684" s="976"/>
      <c r="R684" s="976"/>
      <c r="S684" s="976"/>
      <c r="T684" s="976"/>
      <c r="U684" s="976"/>
      <c r="V684" s="976"/>
      <c r="W684" s="976"/>
      <c r="X684" s="976"/>
      <c r="Y684" s="976"/>
      <c r="Z684" s="976"/>
    </row>
    <row r="685" spans="1:26" ht="15" x14ac:dyDescent="0.25">
      <c r="A685" s="976"/>
      <c r="B685" s="976"/>
      <c r="C685" s="976"/>
      <c r="D685" s="976"/>
      <c r="E685" s="976"/>
      <c r="F685" s="976"/>
      <c r="G685" s="976"/>
      <c r="H685" s="976"/>
      <c r="I685" s="976"/>
      <c r="J685" s="976"/>
      <c r="K685" s="976"/>
      <c r="L685" s="976"/>
      <c r="M685" s="976"/>
      <c r="N685" s="976"/>
      <c r="O685" s="976"/>
      <c r="P685" s="976"/>
      <c r="Q685" s="976"/>
      <c r="R685" s="976"/>
      <c r="S685" s="976"/>
      <c r="T685" s="976"/>
      <c r="U685" s="976"/>
      <c r="V685" s="976"/>
      <c r="W685" s="976"/>
      <c r="X685" s="976"/>
      <c r="Y685" s="976"/>
      <c r="Z685" s="976"/>
    </row>
    <row r="686" spans="1:26" ht="15" x14ac:dyDescent="0.25">
      <c r="A686" s="976"/>
      <c r="B686" s="976"/>
      <c r="C686" s="976"/>
      <c r="D686" s="976"/>
      <c r="E686" s="976"/>
      <c r="F686" s="976"/>
      <c r="G686" s="976"/>
      <c r="H686" s="976"/>
      <c r="I686" s="976"/>
      <c r="J686" s="976"/>
      <c r="K686" s="976"/>
      <c r="L686" s="976"/>
      <c r="M686" s="976"/>
      <c r="N686" s="976"/>
      <c r="O686" s="976"/>
      <c r="P686" s="976"/>
      <c r="Q686" s="976"/>
      <c r="R686" s="976"/>
      <c r="S686" s="976"/>
      <c r="T686" s="976"/>
      <c r="U686" s="976"/>
      <c r="V686" s="976"/>
      <c r="W686" s="976"/>
      <c r="X686" s="976"/>
      <c r="Y686" s="976"/>
      <c r="Z686" s="976"/>
    </row>
    <row r="687" spans="1:26" ht="15" x14ac:dyDescent="0.25">
      <c r="A687" s="976"/>
      <c r="B687" s="976"/>
      <c r="C687" s="976"/>
      <c r="D687" s="976"/>
      <c r="E687" s="976"/>
      <c r="F687" s="976"/>
      <c r="G687" s="976"/>
      <c r="H687" s="976"/>
      <c r="I687" s="976"/>
      <c r="J687" s="976"/>
      <c r="K687" s="976"/>
      <c r="L687" s="976"/>
      <c r="M687" s="976"/>
      <c r="N687" s="976"/>
      <c r="O687" s="976"/>
      <c r="P687" s="976"/>
      <c r="Q687" s="976"/>
      <c r="R687" s="976"/>
      <c r="S687" s="976"/>
      <c r="T687" s="976"/>
      <c r="U687" s="976"/>
      <c r="V687" s="976"/>
      <c r="W687" s="976"/>
      <c r="X687" s="976"/>
      <c r="Y687" s="976"/>
      <c r="Z687" s="976"/>
    </row>
    <row r="688" spans="1:26" ht="15" x14ac:dyDescent="0.25">
      <c r="A688" s="976"/>
      <c r="B688" s="976"/>
      <c r="C688" s="976"/>
      <c r="D688" s="976"/>
      <c r="E688" s="976"/>
      <c r="F688" s="976"/>
      <c r="G688" s="976"/>
      <c r="H688" s="976"/>
      <c r="I688" s="976"/>
      <c r="J688" s="976"/>
      <c r="K688" s="976"/>
      <c r="L688" s="976"/>
      <c r="M688" s="976"/>
      <c r="N688" s="976"/>
      <c r="O688" s="976"/>
      <c r="P688" s="976"/>
      <c r="Q688" s="976"/>
      <c r="R688" s="976"/>
      <c r="S688" s="976"/>
      <c r="T688" s="976"/>
      <c r="U688" s="976"/>
      <c r="V688" s="976"/>
      <c r="W688" s="976"/>
      <c r="X688" s="976"/>
      <c r="Y688" s="976"/>
      <c r="Z688" s="976"/>
    </row>
    <row r="689" spans="1:26" ht="15" x14ac:dyDescent="0.25">
      <c r="A689" s="976"/>
      <c r="B689" s="976"/>
      <c r="C689" s="976"/>
      <c r="D689" s="976"/>
      <c r="E689" s="976"/>
      <c r="F689" s="976"/>
      <c r="G689" s="976"/>
      <c r="H689" s="976"/>
      <c r="I689" s="976"/>
      <c r="J689" s="976"/>
      <c r="K689" s="976"/>
      <c r="L689" s="976"/>
      <c r="M689" s="976"/>
      <c r="N689" s="976"/>
      <c r="O689" s="976"/>
      <c r="P689" s="976"/>
      <c r="Q689" s="976"/>
      <c r="R689" s="976"/>
      <c r="S689" s="976"/>
      <c r="T689" s="976"/>
      <c r="U689" s="976"/>
      <c r="V689" s="976"/>
      <c r="W689" s="976"/>
      <c r="X689" s="976"/>
      <c r="Y689" s="976"/>
      <c r="Z689" s="976"/>
    </row>
    <row r="690" spans="1:26" ht="15" x14ac:dyDescent="0.25">
      <c r="A690" s="976"/>
      <c r="B690" s="976"/>
      <c r="C690" s="976"/>
      <c r="D690" s="976"/>
      <c r="E690" s="976"/>
      <c r="F690" s="976"/>
      <c r="G690" s="976"/>
      <c r="H690" s="976"/>
      <c r="I690" s="976"/>
      <c r="J690" s="976"/>
      <c r="K690" s="976"/>
      <c r="L690" s="976"/>
      <c r="M690" s="976"/>
      <c r="N690" s="976"/>
      <c r="O690" s="976"/>
      <c r="P690" s="976"/>
      <c r="Q690" s="976"/>
      <c r="R690" s="976"/>
      <c r="S690" s="976"/>
      <c r="T690" s="976"/>
      <c r="U690" s="976"/>
      <c r="V690" s="976"/>
      <c r="W690" s="976"/>
      <c r="X690" s="976"/>
      <c r="Y690" s="976"/>
      <c r="Z690" s="976"/>
    </row>
    <row r="691" spans="1:26" ht="15" x14ac:dyDescent="0.25">
      <c r="A691" s="976"/>
      <c r="B691" s="976"/>
      <c r="C691" s="976"/>
      <c r="D691" s="976"/>
      <c r="E691" s="976"/>
      <c r="F691" s="976"/>
      <c r="G691" s="976"/>
      <c r="H691" s="976"/>
      <c r="I691" s="976"/>
      <c r="J691" s="976"/>
      <c r="K691" s="976"/>
      <c r="L691" s="976"/>
      <c r="M691" s="976"/>
      <c r="N691" s="976"/>
      <c r="O691" s="976"/>
      <c r="P691" s="976"/>
      <c r="Q691" s="976"/>
      <c r="R691" s="976"/>
      <c r="S691" s="976"/>
      <c r="T691" s="976"/>
      <c r="U691" s="976"/>
      <c r="V691" s="976"/>
      <c r="W691" s="976"/>
      <c r="X691" s="976"/>
      <c r="Y691" s="976"/>
      <c r="Z691" s="976"/>
    </row>
    <row r="692" spans="1:26" ht="15" x14ac:dyDescent="0.25">
      <c r="A692" s="976"/>
      <c r="B692" s="976"/>
      <c r="C692" s="976"/>
      <c r="D692" s="976"/>
      <c r="E692" s="976"/>
      <c r="F692" s="976"/>
      <c r="G692" s="976"/>
      <c r="H692" s="976"/>
      <c r="I692" s="976"/>
      <c r="J692" s="976"/>
      <c r="K692" s="976"/>
      <c r="L692" s="976"/>
      <c r="M692" s="976"/>
      <c r="N692" s="976"/>
      <c r="O692" s="976"/>
      <c r="P692" s="976"/>
      <c r="Q692" s="976"/>
      <c r="R692" s="976"/>
      <c r="S692" s="976"/>
      <c r="T692" s="976"/>
      <c r="U692" s="976"/>
      <c r="V692" s="976"/>
      <c r="W692" s="976"/>
      <c r="X692" s="976"/>
      <c r="Y692" s="976"/>
      <c r="Z692" s="976"/>
    </row>
    <row r="693" spans="1:26" ht="15" x14ac:dyDescent="0.25">
      <c r="A693" s="976"/>
      <c r="B693" s="976"/>
      <c r="C693" s="976"/>
      <c r="D693" s="976"/>
      <c r="E693" s="976"/>
      <c r="F693" s="976"/>
      <c r="G693" s="976"/>
      <c r="H693" s="976"/>
      <c r="I693" s="976"/>
      <c r="J693" s="976"/>
      <c r="K693" s="976"/>
      <c r="L693" s="976"/>
      <c r="M693" s="976"/>
      <c r="N693" s="976"/>
      <c r="O693" s="976"/>
      <c r="P693" s="976"/>
      <c r="Q693" s="976"/>
      <c r="R693" s="976"/>
      <c r="S693" s="976"/>
      <c r="T693" s="976"/>
      <c r="U693" s="976"/>
      <c r="V693" s="976"/>
      <c r="W693" s="976"/>
      <c r="X693" s="976"/>
      <c r="Y693" s="976"/>
      <c r="Z693" s="976"/>
    </row>
    <row r="694" spans="1:26" ht="15" x14ac:dyDescent="0.25">
      <c r="A694" s="976"/>
      <c r="B694" s="976"/>
      <c r="C694" s="976"/>
      <c r="D694" s="976"/>
      <c r="E694" s="976"/>
      <c r="F694" s="976"/>
      <c r="G694" s="976"/>
      <c r="H694" s="976"/>
      <c r="I694" s="976"/>
      <c r="J694" s="976"/>
      <c r="K694" s="976"/>
      <c r="L694" s="976"/>
      <c r="M694" s="976"/>
      <c r="N694" s="976"/>
      <c r="O694" s="976"/>
      <c r="P694" s="976"/>
      <c r="Q694" s="976"/>
      <c r="R694" s="976"/>
      <c r="S694" s="976"/>
      <c r="T694" s="976"/>
      <c r="U694" s="976"/>
      <c r="V694" s="976"/>
      <c r="W694" s="976"/>
      <c r="X694" s="976"/>
      <c r="Y694" s="976"/>
      <c r="Z694" s="976"/>
    </row>
    <row r="695" spans="1:26" ht="15" x14ac:dyDescent="0.25">
      <c r="A695" s="976"/>
      <c r="B695" s="976"/>
      <c r="C695" s="976"/>
      <c r="D695" s="976"/>
      <c r="E695" s="976"/>
      <c r="F695" s="976"/>
      <c r="G695" s="976"/>
      <c r="H695" s="976"/>
      <c r="I695" s="976"/>
      <c r="J695" s="976"/>
      <c r="K695" s="976"/>
      <c r="L695" s="976"/>
      <c r="M695" s="976"/>
      <c r="N695" s="976"/>
      <c r="O695" s="976"/>
      <c r="P695" s="976"/>
      <c r="Q695" s="976"/>
      <c r="R695" s="976"/>
      <c r="S695" s="976"/>
      <c r="T695" s="976"/>
      <c r="U695" s="976"/>
      <c r="V695" s="976"/>
      <c r="W695" s="976"/>
      <c r="X695" s="976"/>
      <c r="Y695" s="976"/>
      <c r="Z695" s="976"/>
    </row>
    <row r="696" spans="1:26" ht="15" x14ac:dyDescent="0.25">
      <c r="A696" s="976"/>
      <c r="B696" s="976"/>
      <c r="C696" s="976"/>
      <c r="D696" s="976"/>
      <c r="E696" s="976"/>
      <c r="F696" s="976"/>
      <c r="G696" s="976"/>
      <c r="H696" s="976"/>
      <c r="I696" s="976"/>
      <c r="J696" s="976"/>
      <c r="K696" s="976"/>
      <c r="L696" s="976"/>
      <c r="M696" s="976"/>
      <c r="N696" s="976"/>
      <c r="O696" s="976"/>
      <c r="P696" s="976"/>
      <c r="Q696" s="976"/>
      <c r="R696" s="976"/>
      <c r="S696" s="976"/>
      <c r="T696" s="976"/>
      <c r="U696" s="976"/>
      <c r="V696" s="976"/>
      <c r="W696" s="976"/>
      <c r="X696" s="976"/>
      <c r="Y696" s="976"/>
      <c r="Z696" s="976"/>
    </row>
    <row r="697" spans="1:26" ht="15" x14ac:dyDescent="0.25">
      <c r="A697" s="976"/>
      <c r="B697" s="976"/>
      <c r="C697" s="976"/>
      <c r="D697" s="976"/>
      <c r="E697" s="976"/>
      <c r="F697" s="976"/>
      <c r="G697" s="976"/>
      <c r="H697" s="976"/>
      <c r="I697" s="976"/>
      <c r="J697" s="976"/>
      <c r="K697" s="976"/>
      <c r="L697" s="976"/>
      <c r="M697" s="976"/>
      <c r="N697" s="976"/>
      <c r="O697" s="976"/>
      <c r="P697" s="976"/>
      <c r="Q697" s="976"/>
      <c r="R697" s="976"/>
      <c r="S697" s="976"/>
      <c r="T697" s="976"/>
      <c r="U697" s="976"/>
      <c r="V697" s="976"/>
      <c r="W697" s="976"/>
      <c r="X697" s="976"/>
      <c r="Y697" s="976"/>
      <c r="Z697" s="976"/>
    </row>
    <row r="698" spans="1:26" ht="15" x14ac:dyDescent="0.25">
      <c r="A698" s="976"/>
      <c r="B698" s="976"/>
      <c r="C698" s="976"/>
      <c r="D698" s="976"/>
      <c r="E698" s="976"/>
      <c r="F698" s="976"/>
      <c r="G698" s="976"/>
      <c r="H698" s="976"/>
      <c r="I698" s="976"/>
      <c r="J698" s="976"/>
      <c r="K698" s="976"/>
      <c r="L698" s="976"/>
      <c r="M698" s="976"/>
      <c r="N698" s="976"/>
      <c r="O698" s="976"/>
      <c r="P698" s="976"/>
      <c r="Q698" s="976"/>
      <c r="R698" s="976"/>
      <c r="S698" s="976"/>
      <c r="T698" s="976"/>
      <c r="U698" s="976"/>
      <c r="V698" s="976"/>
      <c r="W698" s="976"/>
      <c r="X698" s="976"/>
      <c r="Y698" s="976"/>
      <c r="Z698" s="976"/>
    </row>
    <row r="699" spans="1:26" ht="15" x14ac:dyDescent="0.25">
      <c r="A699" s="976"/>
      <c r="B699" s="976"/>
      <c r="C699" s="976"/>
      <c r="D699" s="976"/>
      <c r="E699" s="976"/>
      <c r="F699" s="976"/>
      <c r="G699" s="976"/>
      <c r="H699" s="976"/>
      <c r="I699" s="976"/>
      <c r="J699" s="976"/>
      <c r="K699" s="976"/>
      <c r="L699" s="976"/>
      <c r="M699" s="976"/>
      <c r="N699" s="976"/>
      <c r="O699" s="976"/>
      <c r="P699" s="976"/>
      <c r="Q699" s="976"/>
      <c r="R699" s="976"/>
      <c r="S699" s="976"/>
      <c r="T699" s="976"/>
      <c r="U699" s="976"/>
      <c r="V699" s="976"/>
      <c r="W699" s="976"/>
      <c r="X699" s="976"/>
      <c r="Y699" s="976"/>
      <c r="Z699" s="976"/>
    </row>
    <row r="700" spans="1:26" ht="15" x14ac:dyDescent="0.25">
      <c r="A700" s="976"/>
      <c r="B700" s="976"/>
      <c r="C700" s="976"/>
      <c r="D700" s="976"/>
      <c r="E700" s="976"/>
      <c r="F700" s="976"/>
      <c r="G700" s="976"/>
      <c r="H700" s="976"/>
      <c r="I700" s="976"/>
      <c r="J700" s="976"/>
      <c r="K700" s="976"/>
      <c r="L700" s="976"/>
      <c r="M700" s="976"/>
      <c r="N700" s="976"/>
      <c r="O700" s="976"/>
      <c r="P700" s="976"/>
      <c r="Q700" s="976"/>
      <c r="R700" s="976"/>
      <c r="S700" s="976"/>
      <c r="T700" s="976"/>
      <c r="U700" s="976"/>
      <c r="V700" s="976"/>
      <c r="W700" s="976"/>
      <c r="X700" s="976"/>
      <c r="Y700" s="976"/>
      <c r="Z700" s="976"/>
    </row>
    <row r="701" spans="1:26" ht="15" x14ac:dyDescent="0.25">
      <c r="A701" s="976"/>
      <c r="B701" s="976"/>
      <c r="C701" s="976"/>
      <c r="D701" s="976"/>
      <c r="E701" s="976"/>
      <c r="F701" s="976"/>
      <c r="G701" s="976"/>
      <c r="H701" s="976"/>
      <c r="I701" s="976"/>
      <c r="J701" s="976"/>
      <c r="K701" s="976"/>
      <c r="L701" s="976"/>
      <c r="M701" s="976"/>
      <c r="N701" s="976"/>
      <c r="O701" s="976"/>
      <c r="P701" s="976"/>
      <c r="Q701" s="976"/>
      <c r="R701" s="976"/>
      <c r="S701" s="976"/>
      <c r="T701" s="976"/>
      <c r="U701" s="976"/>
      <c r="V701" s="976"/>
      <c r="W701" s="976"/>
      <c r="X701" s="976"/>
      <c r="Y701" s="976"/>
      <c r="Z701" s="976"/>
    </row>
    <row r="702" spans="1:26" ht="15" x14ac:dyDescent="0.25">
      <c r="A702" s="976"/>
      <c r="B702" s="976"/>
      <c r="C702" s="976"/>
      <c r="D702" s="976"/>
      <c r="E702" s="976"/>
      <c r="F702" s="976"/>
      <c r="G702" s="976"/>
      <c r="H702" s="976"/>
      <c r="I702" s="976"/>
      <c r="J702" s="976"/>
      <c r="K702" s="976"/>
      <c r="L702" s="976"/>
      <c r="M702" s="976"/>
      <c r="N702" s="976"/>
      <c r="O702" s="976"/>
      <c r="P702" s="976"/>
      <c r="Q702" s="976"/>
      <c r="R702" s="976"/>
      <c r="S702" s="976"/>
      <c r="T702" s="976"/>
      <c r="U702" s="976"/>
      <c r="V702" s="976"/>
      <c r="W702" s="976"/>
      <c r="X702" s="976"/>
      <c r="Y702" s="976"/>
      <c r="Z702" s="976"/>
    </row>
    <row r="703" spans="1:26" ht="15" x14ac:dyDescent="0.25">
      <c r="A703" s="976"/>
      <c r="B703" s="976"/>
      <c r="C703" s="976"/>
      <c r="D703" s="976"/>
      <c r="E703" s="976"/>
      <c r="F703" s="976"/>
      <c r="G703" s="976"/>
      <c r="H703" s="976"/>
      <c r="I703" s="976"/>
      <c r="J703" s="976"/>
      <c r="K703" s="976"/>
      <c r="L703" s="976"/>
      <c r="M703" s="976"/>
      <c r="N703" s="976"/>
      <c r="O703" s="976"/>
      <c r="P703" s="976"/>
      <c r="Q703" s="976"/>
      <c r="R703" s="976"/>
      <c r="S703" s="976"/>
      <c r="T703" s="976"/>
      <c r="U703" s="976"/>
      <c r="V703" s="976"/>
      <c r="W703" s="976"/>
      <c r="X703" s="976"/>
      <c r="Y703" s="976"/>
      <c r="Z703" s="976"/>
    </row>
    <row r="704" spans="1:26" ht="15" x14ac:dyDescent="0.25">
      <c r="A704" s="976"/>
      <c r="B704" s="976"/>
      <c r="C704" s="976"/>
      <c r="D704" s="976"/>
      <c r="E704" s="976"/>
      <c r="F704" s="976"/>
      <c r="G704" s="976"/>
      <c r="H704" s="976"/>
      <c r="I704" s="976"/>
      <c r="J704" s="976"/>
      <c r="K704" s="976"/>
      <c r="L704" s="976"/>
      <c r="M704" s="976"/>
      <c r="N704" s="976"/>
      <c r="O704" s="976"/>
      <c r="P704" s="976"/>
      <c r="Q704" s="976"/>
      <c r="R704" s="976"/>
      <c r="S704" s="976"/>
      <c r="T704" s="976"/>
      <c r="U704" s="976"/>
      <c r="V704" s="976"/>
      <c r="W704" s="976"/>
      <c r="X704" s="976"/>
      <c r="Y704" s="976"/>
      <c r="Z704" s="976"/>
    </row>
    <row r="705" spans="1:26" ht="15" x14ac:dyDescent="0.25">
      <c r="A705" s="976"/>
      <c r="B705" s="976"/>
      <c r="C705" s="976"/>
      <c r="D705" s="976"/>
      <c r="E705" s="976"/>
      <c r="F705" s="976"/>
      <c r="G705" s="976"/>
      <c r="H705" s="976"/>
      <c r="I705" s="976"/>
      <c r="J705" s="976"/>
      <c r="K705" s="976"/>
      <c r="L705" s="976"/>
      <c r="M705" s="976"/>
      <c r="N705" s="976"/>
      <c r="O705" s="976"/>
      <c r="P705" s="976"/>
      <c r="Q705" s="976"/>
      <c r="R705" s="976"/>
      <c r="S705" s="976"/>
      <c r="T705" s="976"/>
      <c r="U705" s="976"/>
      <c r="V705" s="976"/>
      <c r="W705" s="976"/>
      <c r="X705" s="976"/>
      <c r="Y705" s="976"/>
      <c r="Z705" s="976"/>
    </row>
    <row r="706" spans="1:26" ht="15" x14ac:dyDescent="0.25">
      <c r="A706" s="976"/>
      <c r="B706" s="976"/>
      <c r="C706" s="976"/>
      <c r="D706" s="976"/>
      <c r="E706" s="976"/>
      <c r="F706" s="976"/>
      <c r="G706" s="976"/>
      <c r="H706" s="976"/>
      <c r="I706" s="976"/>
      <c r="J706" s="976"/>
      <c r="K706" s="976"/>
      <c r="L706" s="976"/>
      <c r="M706" s="976"/>
      <c r="N706" s="976"/>
      <c r="O706" s="976"/>
      <c r="P706" s="976"/>
      <c r="Q706" s="976"/>
      <c r="R706" s="976"/>
      <c r="S706" s="976"/>
      <c r="T706" s="976"/>
      <c r="U706" s="976"/>
      <c r="V706" s="976"/>
      <c r="W706" s="976"/>
      <c r="X706" s="976"/>
      <c r="Y706" s="976"/>
      <c r="Z706" s="976"/>
    </row>
    <row r="707" spans="1:26" ht="15" x14ac:dyDescent="0.25">
      <c r="A707" s="976"/>
      <c r="B707" s="976"/>
      <c r="C707" s="976"/>
      <c r="D707" s="976"/>
      <c r="E707" s="976"/>
      <c r="F707" s="976"/>
      <c r="G707" s="976"/>
      <c r="H707" s="976"/>
      <c r="I707" s="976"/>
      <c r="J707" s="976"/>
      <c r="K707" s="976"/>
      <c r="L707" s="976"/>
      <c r="M707" s="976"/>
      <c r="N707" s="976"/>
      <c r="O707" s="976"/>
      <c r="P707" s="976"/>
      <c r="Q707" s="976"/>
      <c r="R707" s="976"/>
      <c r="S707" s="976"/>
      <c r="T707" s="976"/>
      <c r="U707" s="976"/>
      <c r="V707" s="976"/>
      <c r="W707" s="976"/>
      <c r="X707" s="976"/>
      <c r="Y707" s="976"/>
      <c r="Z707" s="976"/>
    </row>
    <row r="708" spans="1:26" ht="15" x14ac:dyDescent="0.25">
      <c r="A708" s="976"/>
      <c r="B708" s="976"/>
      <c r="C708" s="976"/>
      <c r="D708" s="976"/>
      <c r="E708" s="976"/>
      <c r="F708" s="976"/>
      <c r="G708" s="976"/>
      <c r="H708" s="976"/>
      <c r="I708" s="976"/>
      <c r="J708" s="976"/>
      <c r="K708" s="976"/>
      <c r="L708" s="976"/>
      <c r="M708" s="976"/>
      <c r="N708" s="976"/>
      <c r="O708" s="976"/>
      <c r="P708" s="976"/>
      <c r="Q708" s="976"/>
      <c r="R708" s="976"/>
      <c r="S708" s="976"/>
      <c r="T708" s="976"/>
      <c r="U708" s="976"/>
      <c r="V708" s="976"/>
      <c r="W708" s="976"/>
      <c r="X708" s="976"/>
      <c r="Y708" s="976"/>
      <c r="Z708" s="976"/>
    </row>
    <row r="709" spans="1:26" ht="15" x14ac:dyDescent="0.25">
      <c r="A709" s="976"/>
      <c r="B709" s="976"/>
      <c r="C709" s="976"/>
      <c r="D709" s="976"/>
      <c r="E709" s="976"/>
      <c r="F709" s="976"/>
      <c r="G709" s="976"/>
      <c r="H709" s="976"/>
      <c r="I709" s="976"/>
      <c r="J709" s="976"/>
      <c r="K709" s="976"/>
      <c r="L709" s="976"/>
      <c r="M709" s="976"/>
      <c r="N709" s="976"/>
      <c r="O709" s="976"/>
      <c r="P709" s="976"/>
      <c r="Q709" s="976"/>
      <c r="R709" s="976"/>
      <c r="S709" s="976"/>
      <c r="T709" s="976"/>
      <c r="U709" s="976"/>
      <c r="V709" s="976"/>
      <c r="W709" s="976"/>
      <c r="X709" s="976"/>
      <c r="Y709" s="976"/>
      <c r="Z709" s="976"/>
    </row>
    <row r="710" spans="1:26" ht="15" x14ac:dyDescent="0.25">
      <c r="A710" s="976"/>
      <c r="B710" s="976"/>
      <c r="C710" s="976"/>
      <c r="D710" s="976"/>
      <c r="E710" s="976"/>
      <c r="F710" s="976"/>
      <c r="G710" s="976"/>
      <c r="H710" s="976"/>
      <c r="I710" s="976"/>
      <c r="J710" s="976"/>
      <c r="K710" s="976"/>
      <c r="L710" s="976"/>
      <c r="M710" s="976"/>
      <c r="N710" s="976"/>
      <c r="O710" s="976"/>
      <c r="P710" s="976"/>
      <c r="Q710" s="976"/>
      <c r="R710" s="976"/>
      <c r="S710" s="976"/>
      <c r="T710" s="976"/>
      <c r="U710" s="976"/>
      <c r="V710" s="976"/>
      <c r="W710" s="976"/>
      <c r="X710" s="976"/>
      <c r="Y710" s="976"/>
      <c r="Z710" s="976"/>
    </row>
    <row r="711" spans="1:26" ht="15" x14ac:dyDescent="0.25">
      <c r="A711" s="976"/>
      <c r="B711" s="976"/>
      <c r="C711" s="976"/>
      <c r="D711" s="976"/>
      <c r="E711" s="976"/>
      <c r="F711" s="976"/>
      <c r="G711" s="976"/>
      <c r="H711" s="976"/>
      <c r="I711" s="976"/>
      <c r="J711" s="976"/>
      <c r="K711" s="976"/>
      <c r="L711" s="976"/>
      <c r="M711" s="976"/>
      <c r="N711" s="976"/>
      <c r="O711" s="976"/>
      <c r="P711" s="976"/>
      <c r="Q711" s="976"/>
      <c r="R711" s="976"/>
      <c r="S711" s="976"/>
      <c r="T711" s="976"/>
      <c r="U711" s="976"/>
      <c r="V711" s="976"/>
      <c r="W711" s="976"/>
      <c r="X711" s="976"/>
      <c r="Y711" s="976"/>
      <c r="Z711" s="976"/>
    </row>
    <row r="712" spans="1:26" ht="15" x14ac:dyDescent="0.25">
      <c r="A712" s="976"/>
      <c r="B712" s="976"/>
      <c r="C712" s="976"/>
      <c r="D712" s="976"/>
      <c r="E712" s="976"/>
      <c r="F712" s="976"/>
      <c r="G712" s="976"/>
      <c r="H712" s="976"/>
      <c r="I712" s="976"/>
      <c r="J712" s="976"/>
      <c r="K712" s="976"/>
      <c r="L712" s="976"/>
      <c r="M712" s="976"/>
      <c r="N712" s="976"/>
      <c r="O712" s="976"/>
      <c r="P712" s="976"/>
      <c r="Q712" s="976"/>
      <c r="R712" s="976"/>
      <c r="S712" s="976"/>
      <c r="T712" s="976"/>
      <c r="U712" s="976"/>
      <c r="V712" s="976"/>
      <c r="W712" s="976"/>
      <c r="X712" s="976"/>
      <c r="Y712" s="976"/>
      <c r="Z712" s="976"/>
    </row>
    <row r="713" spans="1:26" ht="15" x14ac:dyDescent="0.25">
      <c r="A713" s="976"/>
      <c r="B713" s="976"/>
      <c r="C713" s="976"/>
      <c r="D713" s="976"/>
      <c r="E713" s="976"/>
      <c r="F713" s="976"/>
      <c r="G713" s="976"/>
      <c r="H713" s="976"/>
      <c r="I713" s="976"/>
      <c r="J713" s="976"/>
      <c r="K713" s="976"/>
      <c r="L713" s="976"/>
      <c r="M713" s="976"/>
      <c r="N713" s="976"/>
      <c r="O713" s="976"/>
      <c r="P713" s="976"/>
      <c r="Q713" s="976"/>
      <c r="R713" s="976"/>
      <c r="S713" s="976"/>
      <c r="T713" s="976"/>
      <c r="U713" s="976"/>
      <c r="V713" s="976"/>
      <c r="W713" s="976"/>
      <c r="X713" s="976"/>
      <c r="Y713" s="976"/>
      <c r="Z713" s="976"/>
    </row>
    <row r="714" spans="1:26" ht="15" x14ac:dyDescent="0.25">
      <c r="A714" s="976"/>
      <c r="B714" s="976"/>
      <c r="C714" s="976"/>
      <c r="D714" s="976"/>
      <c r="E714" s="976"/>
      <c r="F714" s="976"/>
      <c r="G714" s="976"/>
      <c r="H714" s="976"/>
      <c r="I714" s="976"/>
      <c r="J714" s="976"/>
      <c r="K714" s="976"/>
      <c r="L714" s="976"/>
      <c r="M714" s="976"/>
      <c r="N714" s="976"/>
      <c r="O714" s="976"/>
      <c r="P714" s="976"/>
      <c r="Q714" s="976"/>
      <c r="R714" s="976"/>
      <c r="S714" s="976"/>
      <c r="T714" s="976"/>
      <c r="U714" s="976"/>
      <c r="V714" s="976"/>
      <c r="W714" s="976"/>
      <c r="X714" s="976"/>
      <c r="Y714" s="976"/>
      <c r="Z714" s="976"/>
    </row>
    <row r="715" spans="1:26" ht="15" x14ac:dyDescent="0.25">
      <c r="A715" s="976"/>
      <c r="B715" s="976"/>
      <c r="C715" s="976"/>
      <c r="D715" s="976"/>
      <c r="E715" s="976"/>
      <c r="F715" s="976"/>
      <c r="G715" s="976"/>
      <c r="H715" s="976"/>
      <c r="I715" s="976"/>
      <c r="J715" s="976"/>
      <c r="K715" s="976"/>
      <c r="L715" s="976"/>
      <c r="M715" s="976"/>
      <c r="N715" s="976"/>
      <c r="O715" s="976"/>
      <c r="P715" s="976"/>
      <c r="Q715" s="976"/>
      <c r="R715" s="976"/>
      <c r="S715" s="976"/>
      <c r="T715" s="976"/>
      <c r="U715" s="976"/>
      <c r="V715" s="976"/>
      <c r="W715" s="976"/>
      <c r="X715" s="976"/>
      <c r="Y715" s="976"/>
      <c r="Z715" s="976"/>
    </row>
    <row r="716" spans="1:26" ht="15" x14ac:dyDescent="0.25">
      <c r="A716" s="976"/>
      <c r="B716" s="976"/>
      <c r="C716" s="976"/>
      <c r="D716" s="976"/>
      <c r="E716" s="976"/>
      <c r="F716" s="976"/>
      <c r="G716" s="976"/>
      <c r="H716" s="976"/>
      <c r="I716" s="976"/>
      <c r="J716" s="976"/>
      <c r="K716" s="976"/>
      <c r="L716" s="976"/>
      <c r="M716" s="976"/>
      <c r="N716" s="976"/>
      <c r="O716" s="976"/>
      <c r="P716" s="976"/>
      <c r="Q716" s="976"/>
      <c r="R716" s="976"/>
      <c r="S716" s="976"/>
      <c r="T716" s="976"/>
      <c r="U716" s="976"/>
      <c r="V716" s="976"/>
      <c r="W716" s="976"/>
      <c r="X716" s="976"/>
      <c r="Y716" s="976"/>
      <c r="Z716" s="976"/>
    </row>
    <row r="717" spans="1:26" ht="15" x14ac:dyDescent="0.25">
      <c r="A717" s="976"/>
      <c r="B717" s="976"/>
      <c r="C717" s="976"/>
      <c r="D717" s="976"/>
      <c r="E717" s="976"/>
      <c r="F717" s="976"/>
      <c r="G717" s="976"/>
      <c r="H717" s="976"/>
      <c r="I717" s="976"/>
      <c r="J717" s="976"/>
      <c r="K717" s="976"/>
      <c r="L717" s="976"/>
      <c r="M717" s="976"/>
      <c r="N717" s="976"/>
      <c r="O717" s="976"/>
      <c r="P717" s="976"/>
      <c r="Q717" s="976"/>
      <c r="R717" s="976"/>
      <c r="S717" s="976"/>
      <c r="T717" s="976"/>
      <c r="U717" s="976"/>
      <c r="V717" s="976"/>
      <c r="W717" s="976"/>
      <c r="X717" s="976"/>
      <c r="Y717" s="976"/>
      <c r="Z717" s="976"/>
    </row>
    <row r="718" spans="1:26" ht="15" x14ac:dyDescent="0.25">
      <c r="A718" s="976"/>
      <c r="B718" s="976"/>
      <c r="C718" s="976"/>
      <c r="D718" s="976"/>
      <c r="E718" s="976"/>
      <c r="F718" s="976"/>
      <c r="G718" s="976"/>
      <c r="H718" s="976"/>
      <c r="I718" s="976"/>
      <c r="J718" s="976"/>
      <c r="K718" s="976"/>
      <c r="L718" s="976"/>
      <c r="M718" s="976"/>
      <c r="N718" s="976"/>
      <c r="O718" s="976"/>
      <c r="P718" s="976"/>
      <c r="Q718" s="976"/>
      <c r="R718" s="976"/>
      <c r="S718" s="976"/>
      <c r="T718" s="976"/>
      <c r="U718" s="976"/>
      <c r="V718" s="976"/>
      <c r="W718" s="976"/>
      <c r="X718" s="976"/>
      <c r="Y718" s="976"/>
      <c r="Z718" s="976"/>
    </row>
    <row r="719" spans="1:26" ht="15" x14ac:dyDescent="0.25">
      <c r="A719" s="976"/>
      <c r="B719" s="976"/>
      <c r="C719" s="976"/>
      <c r="D719" s="976"/>
      <c r="E719" s="976"/>
      <c r="F719" s="976"/>
      <c r="G719" s="976"/>
      <c r="H719" s="976"/>
      <c r="I719" s="976"/>
      <c r="J719" s="976"/>
      <c r="K719" s="976"/>
      <c r="L719" s="976"/>
      <c r="M719" s="976"/>
      <c r="N719" s="976"/>
      <c r="O719" s="976"/>
      <c r="P719" s="976"/>
      <c r="Q719" s="976"/>
      <c r="R719" s="976"/>
      <c r="S719" s="976"/>
      <c r="T719" s="976"/>
      <c r="U719" s="976"/>
      <c r="V719" s="976"/>
      <c r="W719" s="976"/>
      <c r="X719" s="976"/>
      <c r="Y719" s="976"/>
      <c r="Z719" s="976"/>
    </row>
    <row r="720" spans="1:26" ht="15" x14ac:dyDescent="0.25">
      <c r="A720" s="976"/>
      <c r="B720" s="976"/>
      <c r="C720" s="976"/>
      <c r="D720" s="976"/>
      <c r="E720" s="976"/>
      <c r="F720" s="976"/>
      <c r="G720" s="976"/>
      <c r="H720" s="976"/>
      <c r="I720" s="976"/>
      <c r="J720" s="976"/>
      <c r="K720" s="976"/>
      <c r="L720" s="976"/>
      <c r="M720" s="976"/>
      <c r="N720" s="976"/>
      <c r="O720" s="976"/>
      <c r="P720" s="976"/>
      <c r="Q720" s="976"/>
      <c r="R720" s="976"/>
      <c r="S720" s="976"/>
      <c r="T720" s="976"/>
      <c r="U720" s="976"/>
      <c r="V720" s="976"/>
      <c r="W720" s="976"/>
      <c r="X720" s="976"/>
      <c r="Y720" s="976"/>
      <c r="Z720" s="976"/>
    </row>
    <row r="721" spans="1:26" ht="15" x14ac:dyDescent="0.25">
      <c r="A721" s="976"/>
      <c r="B721" s="976"/>
      <c r="C721" s="976"/>
      <c r="D721" s="976"/>
      <c r="E721" s="976"/>
      <c r="F721" s="976"/>
      <c r="G721" s="976"/>
      <c r="H721" s="976"/>
      <c r="I721" s="976"/>
      <c r="J721" s="976"/>
      <c r="K721" s="976"/>
      <c r="L721" s="976"/>
      <c r="M721" s="976"/>
      <c r="N721" s="976"/>
      <c r="O721" s="976"/>
      <c r="P721" s="976"/>
      <c r="Q721" s="976"/>
      <c r="R721" s="976"/>
      <c r="S721" s="976"/>
      <c r="T721" s="976"/>
      <c r="U721" s="976"/>
      <c r="V721" s="976"/>
      <c r="W721" s="976"/>
      <c r="X721" s="976"/>
      <c r="Y721" s="976"/>
      <c r="Z721" s="976"/>
    </row>
    <row r="722" spans="1:26" ht="15" x14ac:dyDescent="0.25">
      <c r="A722" s="976"/>
      <c r="B722" s="976"/>
      <c r="C722" s="976"/>
      <c r="D722" s="976"/>
      <c r="E722" s="976"/>
      <c r="F722" s="976"/>
      <c r="G722" s="976"/>
      <c r="H722" s="976"/>
      <c r="I722" s="976"/>
      <c r="J722" s="976"/>
      <c r="K722" s="976"/>
      <c r="L722" s="976"/>
      <c r="M722" s="976"/>
      <c r="N722" s="976"/>
      <c r="O722" s="976"/>
      <c r="P722" s="976"/>
      <c r="Q722" s="976"/>
      <c r="R722" s="976"/>
      <c r="S722" s="976"/>
      <c r="T722" s="976"/>
      <c r="U722" s="976"/>
      <c r="V722" s="976"/>
      <c r="W722" s="976"/>
      <c r="X722" s="976"/>
      <c r="Y722" s="976"/>
      <c r="Z722" s="976"/>
    </row>
    <row r="723" spans="1:26" ht="15" x14ac:dyDescent="0.25">
      <c r="A723" s="976"/>
      <c r="B723" s="976"/>
      <c r="C723" s="976"/>
      <c r="D723" s="976"/>
      <c r="E723" s="976"/>
      <c r="F723" s="976"/>
      <c r="G723" s="976"/>
      <c r="H723" s="976"/>
      <c r="I723" s="976"/>
      <c r="J723" s="976"/>
      <c r="K723" s="976"/>
      <c r="L723" s="976"/>
      <c r="M723" s="976"/>
      <c r="N723" s="976"/>
      <c r="O723" s="976"/>
      <c r="P723" s="976"/>
      <c r="Q723" s="976"/>
      <c r="R723" s="976"/>
      <c r="S723" s="976"/>
      <c r="T723" s="976"/>
      <c r="U723" s="976"/>
      <c r="V723" s="976"/>
      <c r="W723" s="976"/>
      <c r="X723" s="976"/>
      <c r="Y723" s="976"/>
      <c r="Z723" s="976"/>
    </row>
    <row r="724" spans="1:26" ht="15" x14ac:dyDescent="0.25">
      <c r="A724" s="976"/>
      <c r="B724" s="976"/>
      <c r="C724" s="976"/>
      <c r="D724" s="976"/>
      <c r="E724" s="976"/>
      <c r="F724" s="976"/>
      <c r="G724" s="976"/>
      <c r="H724" s="976"/>
      <c r="I724" s="976"/>
      <c r="J724" s="976"/>
      <c r="K724" s="976"/>
      <c r="L724" s="976"/>
      <c r="M724" s="976"/>
      <c r="N724" s="976"/>
      <c r="O724" s="976"/>
      <c r="P724" s="976"/>
      <c r="Q724" s="976"/>
      <c r="R724" s="976"/>
      <c r="S724" s="976"/>
      <c r="T724" s="976"/>
      <c r="U724" s="976"/>
      <c r="V724" s="976"/>
      <c r="W724" s="976"/>
      <c r="X724" s="976"/>
      <c r="Y724" s="976"/>
      <c r="Z724" s="976"/>
    </row>
    <row r="725" spans="1:26" ht="15" x14ac:dyDescent="0.25">
      <c r="A725" s="976"/>
      <c r="B725" s="976"/>
      <c r="C725" s="976"/>
      <c r="D725" s="976"/>
      <c r="E725" s="976"/>
      <c r="F725" s="976"/>
      <c r="G725" s="976"/>
      <c r="H725" s="976"/>
      <c r="I725" s="976"/>
      <c r="J725" s="976"/>
      <c r="K725" s="976"/>
      <c r="L725" s="976"/>
      <c r="M725" s="976"/>
      <c r="N725" s="976"/>
      <c r="O725" s="976"/>
      <c r="P725" s="976"/>
      <c r="Q725" s="976"/>
      <c r="R725" s="976"/>
      <c r="S725" s="976"/>
      <c r="T725" s="976"/>
      <c r="U725" s="976"/>
      <c r="V725" s="976"/>
      <c r="W725" s="976"/>
      <c r="X725" s="976"/>
      <c r="Y725" s="976"/>
      <c r="Z725" s="976"/>
    </row>
    <row r="726" spans="1:26" ht="15" x14ac:dyDescent="0.25">
      <c r="A726" s="976"/>
      <c r="B726" s="976"/>
      <c r="C726" s="976"/>
      <c r="D726" s="976"/>
      <c r="E726" s="976"/>
      <c r="F726" s="976"/>
      <c r="G726" s="976"/>
      <c r="H726" s="976"/>
      <c r="I726" s="976"/>
      <c r="J726" s="976"/>
      <c r="K726" s="976"/>
      <c r="L726" s="976"/>
      <c r="M726" s="976"/>
      <c r="N726" s="976"/>
      <c r="O726" s="976"/>
      <c r="P726" s="976"/>
      <c r="Q726" s="976"/>
      <c r="R726" s="976"/>
      <c r="S726" s="976"/>
      <c r="T726" s="976"/>
      <c r="U726" s="976"/>
      <c r="V726" s="976"/>
      <c r="W726" s="976"/>
      <c r="X726" s="976"/>
      <c r="Y726" s="976"/>
      <c r="Z726" s="976"/>
    </row>
    <row r="727" spans="1:26" ht="15" x14ac:dyDescent="0.25">
      <c r="A727" s="976"/>
      <c r="B727" s="976"/>
      <c r="C727" s="976"/>
      <c r="D727" s="976"/>
      <c r="E727" s="976"/>
      <c r="F727" s="976"/>
      <c r="G727" s="976"/>
      <c r="H727" s="976"/>
      <c r="I727" s="976"/>
      <c r="J727" s="976"/>
      <c r="K727" s="976"/>
      <c r="L727" s="976"/>
      <c r="M727" s="976"/>
      <c r="N727" s="976"/>
      <c r="O727" s="976"/>
      <c r="P727" s="976"/>
      <c r="Q727" s="976"/>
      <c r="R727" s="976"/>
      <c r="S727" s="976"/>
      <c r="T727" s="976"/>
      <c r="U727" s="976"/>
      <c r="V727" s="976"/>
      <c r="W727" s="976"/>
      <c r="X727" s="976"/>
      <c r="Y727" s="976"/>
      <c r="Z727" s="976"/>
    </row>
    <row r="728" spans="1:26" ht="15" x14ac:dyDescent="0.25">
      <c r="A728" s="976"/>
      <c r="B728" s="976"/>
      <c r="C728" s="976"/>
      <c r="D728" s="976"/>
      <c r="E728" s="976"/>
      <c r="F728" s="976"/>
      <c r="G728" s="976"/>
      <c r="H728" s="976"/>
      <c r="I728" s="976"/>
      <c r="J728" s="976"/>
      <c r="K728" s="976"/>
      <c r="L728" s="976"/>
      <c r="M728" s="976"/>
      <c r="N728" s="976"/>
      <c r="O728" s="976"/>
      <c r="P728" s="976"/>
      <c r="Q728" s="976"/>
      <c r="R728" s="976"/>
      <c r="S728" s="976"/>
      <c r="T728" s="976"/>
      <c r="U728" s="976"/>
      <c r="V728" s="976"/>
      <c r="W728" s="976"/>
      <c r="X728" s="976"/>
      <c r="Y728" s="976"/>
      <c r="Z728" s="976"/>
    </row>
    <row r="729" spans="1:26" ht="15" x14ac:dyDescent="0.25">
      <c r="A729" s="976"/>
      <c r="B729" s="976"/>
      <c r="C729" s="976"/>
      <c r="D729" s="976"/>
      <c r="E729" s="976"/>
      <c r="F729" s="976"/>
      <c r="G729" s="976"/>
      <c r="H729" s="976"/>
      <c r="I729" s="976"/>
      <c r="J729" s="976"/>
      <c r="K729" s="976"/>
      <c r="L729" s="976"/>
      <c r="M729" s="976"/>
      <c r="N729" s="976"/>
      <c r="O729" s="976"/>
      <c r="P729" s="976"/>
      <c r="Q729" s="976"/>
      <c r="R729" s="976"/>
      <c r="S729" s="976"/>
      <c r="T729" s="976"/>
      <c r="U729" s="976"/>
      <c r="V729" s="976"/>
      <c r="W729" s="976"/>
      <c r="X729" s="976"/>
      <c r="Y729" s="976"/>
      <c r="Z729" s="976"/>
    </row>
    <row r="730" spans="1:26" ht="15" x14ac:dyDescent="0.25">
      <c r="A730" s="976"/>
      <c r="B730" s="976"/>
      <c r="C730" s="976"/>
      <c r="D730" s="976"/>
      <c r="E730" s="976"/>
      <c r="F730" s="976"/>
      <c r="G730" s="976"/>
      <c r="H730" s="976"/>
      <c r="I730" s="976"/>
      <c r="J730" s="976"/>
      <c r="K730" s="976"/>
      <c r="L730" s="976"/>
      <c r="M730" s="976"/>
      <c r="N730" s="976"/>
      <c r="O730" s="976"/>
      <c r="P730" s="976"/>
      <c r="Q730" s="976"/>
      <c r="R730" s="976"/>
      <c r="S730" s="976"/>
      <c r="T730" s="976"/>
      <c r="U730" s="976"/>
      <c r="V730" s="976"/>
      <c r="W730" s="976"/>
      <c r="X730" s="976"/>
      <c r="Y730" s="976"/>
      <c r="Z730" s="976"/>
    </row>
    <row r="731" spans="1:26" ht="15" x14ac:dyDescent="0.25">
      <c r="A731" s="976"/>
      <c r="B731" s="976"/>
      <c r="C731" s="976"/>
      <c r="D731" s="976"/>
      <c r="E731" s="976"/>
      <c r="F731" s="976"/>
      <c r="G731" s="976"/>
      <c r="H731" s="976"/>
      <c r="I731" s="976"/>
      <c r="J731" s="976"/>
      <c r="K731" s="976"/>
      <c r="L731" s="976"/>
      <c r="M731" s="976"/>
      <c r="N731" s="976"/>
      <c r="O731" s="976"/>
      <c r="P731" s="976"/>
      <c r="Q731" s="976"/>
      <c r="R731" s="976"/>
      <c r="S731" s="976"/>
      <c r="T731" s="976"/>
      <c r="U731" s="976"/>
      <c r="V731" s="976"/>
      <c r="W731" s="976"/>
      <c r="X731" s="976"/>
      <c r="Y731" s="976"/>
      <c r="Z731" s="976"/>
    </row>
    <row r="732" spans="1:26" ht="15" x14ac:dyDescent="0.25">
      <c r="A732" s="976"/>
      <c r="B732" s="976"/>
      <c r="C732" s="976"/>
      <c r="D732" s="976"/>
      <c r="E732" s="976"/>
      <c r="F732" s="976"/>
      <c r="G732" s="976"/>
      <c r="H732" s="976"/>
      <c r="I732" s="976"/>
      <c r="J732" s="976"/>
      <c r="K732" s="976"/>
      <c r="L732" s="976"/>
      <c r="M732" s="976"/>
      <c r="N732" s="976"/>
      <c r="O732" s="976"/>
      <c r="P732" s="976"/>
      <c r="Q732" s="976"/>
      <c r="R732" s="976"/>
      <c r="S732" s="976"/>
      <c r="T732" s="976"/>
      <c r="U732" s="976"/>
      <c r="V732" s="976"/>
      <c r="W732" s="976"/>
      <c r="X732" s="976"/>
      <c r="Y732" s="976"/>
      <c r="Z732" s="976"/>
    </row>
    <row r="733" spans="1:26" ht="15" x14ac:dyDescent="0.25">
      <c r="A733" s="976"/>
      <c r="B733" s="976"/>
      <c r="C733" s="976"/>
      <c r="D733" s="976"/>
      <c r="E733" s="976"/>
      <c r="F733" s="976"/>
      <c r="G733" s="976"/>
      <c r="H733" s="976"/>
      <c r="I733" s="976"/>
      <c r="J733" s="976"/>
      <c r="K733" s="976"/>
      <c r="L733" s="976"/>
      <c r="M733" s="976"/>
      <c r="N733" s="976"/>
      <c r="O733" s="976"/>
      <c r="P733" s="976"/>
      <c r="Q733" s="976"/>
      <c r="R733" s="976"/>
      <c r="S733" s="976"/>
      <c r="T733" s="976"/>
      <c r="U733" s="976"/>
      <c r="V733" s="976"/>
      <c r="W733" s="976"/>
      <c r="X733" s="976"/>
      <c r="Y733" s="976"/>
      <c r="Z733" s="976"/>
    </row>
    <row r="734" spans="1:26" ht="15" x14ac:dyDescent="0.25">
      <c r="A734" s="976"/>
      <c r="B734" s="976"/>
      <c r="C734" s="976"/>
      <c r="D734" s="976"/>
      <c r="E734" s="976"/>
      <c r="F734" s="976"/>
      <c r="G734" s="976"/>
      <c r="H734" s="976"/>
      <c r="I734" s="976"/>
      <c r="J734" s="976"/>
      <c r="K734" s="976"/>
      <c r="L734" s="976"/>
      <c r="M734" s="976"/>
      <c r="N734" s="976"/>
      <c r="O734" s="976"/>
      <c r="P734" s="976"/>
      <c r="Q734" s="976"/>
      <c r="R734" s="976"/>
      <c r="S734" s="976"/>
      <c r="T734" s="976"/>
      <c r="U734" s="976"/>
      <c r="V734" s="976"/>
      <c r="W734" s="976"/>
      <c r="X734" s="976"/>
      <c r="Y734" s="976"/>
      <c r="Z734" s="976"/>
    </row>
    <row r="735" spans="1:26" ht="15" x14ac:dyDescent="0.25">
      <c r="A735" s="976"/>
      <c r="B735" s="976"/>
      <c r="C735" s="976"/>
      <c r="D735" s="976"/>
      <c r="E735" s="976"/>
      <c r="F735" s="976"/>
      <c r="G735" s="976"/>
      <c r="H735" s="976"/>
      <c r="I735" s="976"/>
      <c r="J735" s="976"/>
      <c r="K735" s="976"/>
      <c r="L735" s="976"/>
      <c r="M735" s="976"/>
      <c r="N735" s="976"/>
      <c r="O735" s="976"/>
      <c r="P735" s="976"/>
      <c r="Q735" s="976"/>
      <c r="R735" s="976"/>
      <c r="S735" s="976"/>
      <c r="T735" s="976"/>
      <c r="U735" s="976"/>
      <c r="V735" s="976"/>
      <c r="W735" s="976"/>
      <c r="X735" s="976"/>
      <c r="Y735" s="976"/>
      <c r="Z735" s="976"/>
    </row>
    <row r="736" spans="1:26" ht="15" x14ac:dyDescent="0.25">
      <c r="A736" s="976"/>
      <c r="B736" s="976"/>
      <c r="C736" s="976"/>
      <c r="D736" s="976"/>
      <c r="E736" s="976"/>
      <c r="F736" s="976"/>
      <c r="G736" s="976"/>
      <c r="H736" s="976"/>
      <c r="I736" s="976"/>
      <c r="J736" s="976"/>
      <c r="K736" s="976"/>
      <c r="L736" s="976"/>
      <c r="M736" s="976"/>
      <c r="N736" s="976"/>
      <c r="O736" s="976"/>
      <c r="P736" s="976"/>
      <c r="Q736" s="976"/>
      <c r="R736" s="976"/>
      <c r="S736" s="976"/>
      <c r="T736" s="976"/>
      <c r="U736" s="976"/>
      <c r="V736" s="976"/>
      <c r="W736" s="976"/>
      <c r="X736" s="976"/>
      <c r="Y736" s="976"/>
      <c r="Z736" s="976"/>
    </row>
    <row r="737" spans="1:26" ht="15" x14ac:dyDescent="0.25">
      <c r="A737" s="976"/>
      <c r="B737" s="976"/>
      <c r="C737" s="976"/>
      <c r="D737" s="976"/>
      <c r="E737" s="976"/>
      <c r="F737" s="976"/>
      <c r="G737" s="976"/>
      <c r="H737" s="976"/>
      <c r="I737" s="976"/>
      <c r="J737" s="976"/>
      <c r="K737" s="976"/>
      <c r="L737" s="976"/>
      <c r="M737" s="976"/>
      <c r="N737" s="976"/>
      <c r="O737" s="976"/>
      <c r="P737" s="976"/>
      <c r="Q737" s="976"/>
      <c r="R737" s="976"/>
      <c r="S737" s="976"/>
      <c r="T737" s="976"/>
      <c r="U737" s="976"/>
      <c r="V737" s="976"/>
      <c r="W737" s="976"/>
      <c r="X737" s="976"/>
      <c r="Y737" s="976"/>
      <c r="Z737" s="976"/>
    </row>
    <row r="738" spans="1:26" ht="15" x14ac:dyDescent="0.25">
      <c r="A738" s="976"/>
      <c r="B738" s="976"/>
      <c r="C738" s="976"/>
      <c r="D738" s="976"/>
      <c r="E738" s="976"/>
      <c r="F738" s="976"/>
      <c r="G738" s="976"/>
      <c r="H738" s="976"/>
      <c r="I738" s="976"/>
      <c r="J738" s="976"/>
      <c r="K738" s="976"/>
      <c r="L738" s="976"/>
      <c r="M738" s="976"/>
      <c r="N738" s="976"/>
      <c r="O738" s="976"/>
      <c r="P738" s="976"/>
      <c r="Q738" s="976"/>
      <c r="R738" s="976"/>
      <c r="S738" s="976"/>
      <c r="T738" s="976"/>
      <c r="U738" s="976"/>
      <c r="V738" s="976"/>
      <c r="W738" s="976"/>
      <c r="X738" s="976"/>
      <c r="Y738" s="976"/>
      <c r="Z738" s="976"/>
    </row>
    <row r="739" spans="1:26" ht="15" x14ac:dyDescent="0.25">
      <c r="A739" s="976"/>
      <c r="B739" s="976"/>
      <c r="C739" s="976"/>
      <c r="D739" s="976"/>
      <c r="E739" s="976"/>
      <c r="F739" s="976"/>
      <c r="G739" s="976"/>
      <c r="H739" s="976"/>
      <c r="I739" s="976"/>
      <c r="J739" s="976"/>
      <c r="K739" s="976"/>
      <c r="L739" s="976"/>
      <c r="M739" s="976"/>
      <c r="N739" s="976"/>
      <c r="O739" s="976"/>
      <c r="P739" s="976"/>
      <c r="Q739" s="976"/>
      <c r="R739" s="976"/>
      <c r="S739" s="976"/>
      <c r="T739" s="976"/>
      <c r="U739" s="976"/>
      <c r="V739" s="976"/>
      <c r="W739" s="976"/>
      <c r="X739" s="976"/>
      <c r="Y739" s="976"/>
      <c r="Z739" s="976"/>
    </row>
    <row r="740" spans="1:26" ht="15" x14ac:dyDescent="0.25">
      <c r="A740" s="976"/>
      <c r="B740" s="976"/>
      <c r="C740" s="976"/>
      <c r="D740" s="976"/>
      <c r="E740" s="976"/>
      <c r="F740" s="976"/>
      <c r="G740" s="976"/>
      <c r="H740" s="976"/>
      <c r="I740" s="976"/>
      <c r="J740" s="976"/>
      <c r="K740" s="976"/>
      <c r="L740" s="976"/>
      <c r="M740" s="976"/>
      <c r="N740" s="976"/>
      <c r="O740" s="976"/>
      <c r="P740" s="976"/>
      <c r="Q740" s="976"/>
      <c r="R740" s="976"/>
      <c r="S740" s="976"/>
      <c r="T740" s="976"/>
      <c r="U740" s="976"/>
      <c r="V740" s="976"/>
      <c r="W740" s="976"/>
      <c r="X740" s="976"/>
      <c r="Y740" s="976"/>
      <c r="Z740" s="976"/>
    </row>
    <row r="741" spans="1:26" ht="15" x14ac:dyDescent="0.25">
      <c r="A741" s="976"/>
      <c r="B741" s="976"/>
      <c r="C741" s="976"/>
      <c r="D741" s="976"/>
      <c r="E741" s="976"/>
      <c r="F741" s="976"/>
      <c r="G741" s="976"/>
      <c r="H741" s="976"/>
      <c r="I741" s="976"/>
      <c r="J741" s="976"/>
      <c r="K741" s="976"/>
      <c r="L741" s="976"/>
      <c r="M741" s="976"/>
      <c r="N741" s="976"/>
      <c r="O741" s="976"/>
      <c r="P741" s="976"/>
      <c r="Q741" s="976"/>
      <c r="R741" s="976"/>
      <c r="S741" s="976"/>
      <c r="T741" s="976"/>
      <c r="U741" s="976"/>
      <c r="V741" s="976"/>
      <c r="W741" s="976"/>
      <c r="X741" s="976"/>
      <c r="Y741" s="976"/>
      <c r="Z741" s="976"/>
    </row>
    <row r="742" spans="1:26" ht="15" x14ac:dyDescent="0.25">
      <c r="A742" s="976"/>
      <c r="B742" s="976"/>
      <c r="C742" s="976"/>
      <c r="D742" s="976"/>
      <c r="E742" s="976"/>
      <c r="F742" s="976"/>
      <c r="G742" s="976"/>
      <c r="H742" s="976"/>
      <c r="I742" s="976"/>
      <c r="J742" s="976"/>
      <c r="K742" s="976"/>
      <c r="L742" s="976"/>
      <c r="M742" s="976"/>
      <c r="N742" s="976"/>
      <c r="O742" s="976"/>
      <c r="P742" s="976"/>
      <c r="Q742" s="976"/>
      <c r="R742" s="976"/>
      <c r="S742" s="976"/>
      <c r="T742" s="976"/>
      <c r="U742" s="976"/>
      <c r="V742" s="976"/>
      <c r="W742" s="976"/>
      <c r="X742" s="976"/>
      <c r="Y742" s="976"/>
      <c r="Z742" s="976"/>
    </row>
    <row r="743" spans="1:26" ht="15" x14ac:dyDescent="0.25">
      <c r="A743" s="976"/>
      <c r="B743" s="976"/>
      <c r="C743" s="976"/>
      <c r="D743" s="976"/>
      <c r="E743" s="976"/>
      <c r="F743" s="976"/>
      <c r="G743" s="976"/>
      <c r="H743" s="976"/>
      <c r="I743" s="976"/>
      <c r="J743" s="976"/>
      <c r="K743" s="976"/>
      <c r="L743" s="976"/>
      <c r="M743" s="976"/>
      <c r="N743" s="976"/>
      <c r="O743" s="976"/>
      <c r="P743" s="976"/>
      <c r="Q743" s="976"/>
      <c r="R743" s="976"/>
      <c r="S743" s="976"/>
      <c r="T743" s="976"/>
      <c r="U743" s="976"/>
      <c r="V743" s="976"/>
      <c r="W743" s="976"/>
      <c r="X743" s="976"/>
      <c r="Y743" s="976"/>
      <c r="Z743" s="976"/>
    </row>
    <row r="744" spans="1:26" ht="15" x14ac:dyDescent="0.25">
      <c r="A744" s="976"/>
      <c r="B744" s="976"/>
      <c r="C744" s="976"/>
      <c r="D744" s="976"/>
      <c r="E744" s="976"/>
      <c r="F744" s="976"/>
      <c r="G744" s="976"/>
      <c r="H744" s="976"/>
      <c r="I744" s="976"/>
      <c r="J744" s="976"/>
      <c r="K744" s="976"/>
      <c r="L744" s="976"/>
      <c r="M744" s="976"/>
      <c r="N744" s="976"/>
      <c r="O744" s="976"/>
      <c r="P744" s="976"/>
      <c r="Q744" s="976"/>
      <c r="R744" s="976"/>
      <c r="S744" s="976"/>
      <c r="T744" s="976"/>
      <c r="U744" s="976"/>
      <c r="V744" s="976"/>
      <c r="W744" s="976"/>
      <c r="X744" s="976"/>
      <c r="Y744" s="976"/>
      <c r="Z744" s="976"/>
    </row>
    <row r="745" spans="1:26" ht="15" x14ac:dyDescent="0.25">
      <c r="A745" s="976"/>
      <c r="B745" s="976"/>
      <c r="C745" s="976"/>
      <c r="D745" s="976"/>
      <c r="E745" s="976"/>
      <c r="F745" s="976"/>
      <c r="G745" s="976"/>
      <c r="H745" s="976"/>
      <c r="I745" s="976"/>
      <c r="J745" s="976"/>
      <c r="K745" s="976"/>
      <c r="L745" s="976"/>
      <c r="M745" s="976"/>
      <c r="N745" s="976"/>
      <c r="O745" s="976"/>
      <c r="P745" s="976"/>
      <c r="Q745" s="976"/>
      <c r="R745" s="976"/>
      <c r="S745" s="976"/>
      <c r="T745" s="976"/>
      <c r="U745" s="976"/>
      <c r="V745" s="976"/>
      <c r="W745" s="976"/>
      <c r="X745" s="976"/>
      <c r="Y745" s="976"/>
      <c r="Z745" s="976"/>
    </row>
    <row r="746" spans="1:26" ht="15" x14ac:dyDescent="0.25">
      <c r="A746" s="976"/>
      <c r="B746" s="976"/>
      <c r="C746" s="976"/>
      <c r="D746" s="976"/>
      <c r="E746" s="976"/>
      <c r="F746" s="976"/>
      <c r="G746" s="976"/>
      <c r="H746" s="976"/>
      <c r="I746" s="976"/>
      <c r="J746" s="976"/>
      <c r="K746" s="976"/>
      <c r="L746" s="976"/>
      <c r="M746" s="976"/>
      <c r="N746" s="976"/>
      <c r="O746" s="976"/>
      <c r="P746" s="976"/>
      <c r="Q746" s="976"/>
      <c r="R746" s="976"/>
      <c r="S746" s="976"/>
      <c r="T746" s="976"/>
      <c r="U746" s="976"/>
      <c r="V746" s="976"/>
      <c r="W746" s="976"/>
      <c r="X746" s="976"/>
      <c r="Y746" s="976"/>
      <c r="Z746" s="976"/>
    </row>
    <row r="747" spans="1:26" ht="15" x14ac:dyDescent="0.25">
      <c r="A747" s="976"/>
      <c r="B747" s="976"/>
      <c r="C747" s="976"/>
      <c r="D747" s="976"/>
      <c r="E747" s="976"/>
      <c r="F747" s="976"/>
      <c r="G747" s="976"/>
      <c r="H747" s="976"/>
      <c r="I747" s="976"/>
      <c r="J747" s="976"/>
      <c r="K747" s="976"/>
      <c r="L747" s="976"/>
      <c r="M747" s="976"/>
      <c r="N747" s="976"/>
      <c r="O747" s="976"/>
      <c r="P747" s="976"/>
      <c r="Q747" s="976"/>
      <c r="R747" s="976"/>
      <c r="S747" s="976"/>
      <c r="T747" s="976"/>
      <c r="U747" s="976"/>
      <c r="V747" s="976"/>
      <c r="W747" s="976"/>
      <c r="X747" s="976"/>
      <c r="Y747" s="976"/>
      <c r="Z747" s="976"/>
    </row>
    <row r="748" spans="1:26" ht="15" x14ac:dyDescent="0.25">
      <c r="A748" s="976"/>
      <c r="B748" s="976"/>
      <c r="C748" s="976"/>
      <c r="D748" s="976"/>
      <c r="E748" s="976"/>
      <c r="F748" s="976"/>
      <c r="G748" s="976"/>
      <c r="H748" s="976"/>
      <c r="I748" s="976"/>
      <c r="J748" s="976"/>
      <c r="K748" s="976"/>
      <c r="L748" s="976"/>
      <c r="M748" s="976"/>
      <c r="N748" s="976"/>
      <c r="O748" s="976"/>
      <c r="P748" s="976"/>
      <c r="Q748" s="976"/>
      <c r="R748" s="976"/>
      <c r="S748" s="976"/>
      <c r="T748" s="976"/>
      <c r="U748" s="976"/>
      <c r="V748" s="976"/>
      <c r="W748" s="976"/>
      <c r="X748" s="976"/>
      <c r="Y748" s="976"/>
      <c r="Z748" s="976"/>
    </row>
    <row r="749" spans="1:26" ht="15" x14ac:dyDescent="0.25">
      <c r="A749" s="976"/>
      <c r="B749" s="976"/>
      <c r="C749" s="976"/>
      <c r="D749" s="976"/>
      <c r="E749" s="976"/>
      <c r="F749" s="976"/>
      <c r="G749" s="976"/>
      <c r="H749" s="976"/>
      <c r="I749" s="976"/>
      <c r="J749" s="976"/>
      <c r="K749" s="976"/>
      <c r="L749" s="976"/>
      <c r="M749" s="976"/>
      <c r="N749" s="976"/>
      <c r="O749" s="976"/>
      <c r="P749" s="976"/>
      <c r="Q749" s="976"/>
      <c r="R749" s="976"/>
      <c r="S749" s="976"/>
      <c r="T749" s="976"/>
      <c r="U749" s="976"/>
      <c r="V749" s="976"/>
      <c r="W749" s="976"/>
      <c r="X749" s="976"/>
      <c r="Y749" s="976"/>
      <c r="Z749" s="976"/>
    </row>
    <row r="750" spans="1:26" ht="15" x14ac:dyDescent="0.25">
      <c r="A750" s="976"/>
      <c r="B750" s="976"/>
      <c r="C750" s="976"/>
      <c r="D750" s="976"/>
      <c r="E750" s="976"/>
      <c r="F750" s="976"/>
      <c r="G750" s="976"/>
      <c r="H750" s="976"/>
      <c r="I750" s="976"/>
      <c r="J750" s="976"/>
      <c r="K750" s="976"/>
      <c r="L750" s="976"/>
      <c r="M750" s="976"/>
      <c r="N750" s="976"/>
      <c r="O750" s="976"/>
      <c r="P750" s="976"/>
      <c r="Q750" s="976"/>
      <c r="R750" s="976"/>
      <c r="S750" s="976"/>
      <c r="T750" s="976"/>
      <c r="U750" s="976"/>
      <c r="V750" s="976"/>
      <c r="W750" s="976"/>
      <c r="X750" s="976"/>
      <c r="Y750" s="976"/>
      <c r="Z750" s="976"/>
    </row>
    <row r="751" spans="1:26" ht="15" x14ac:dyDescent="0.25">
      <c r="A751" s="976"/>
      <c r="B751" s="976"/>
      <c r="C751" s="976"/>
      <c r="D751" s="976"/>
      <c r="E751" s="976"/>
      <c r="F751" s="976"/>
      <c r="G751" s="976"/>
      <c r="H751" s="976"/>
      <c r="I751" s="976"/>
      <c r="J751" s="976"/>
      <c r="K751" s="976"/>
      <c r="L751" s="976"/>
      <c r="M751" s="976"/>
      <c r="N751" s="976"/>
      <c r="O751" s="976"/>
      <c r="P751" s="976"/>
      <c r="Q751" s="976"/>
      <c r="R751" s="976"/>
      <c r="S751" s="976"/>
      <c r="T751" s="976"/>
      <c r="U751" s="976"/>
      <c r="V751" s="976"/>
      <c r="W751" s="976"/>
      <c r="X751" s="976"/>
      <c r="Y751" s="976"/>
      <c r="Z751" s="976"/>
    </row>
    <row r="752" spans="1:26" ht="15" x14ac:dyDescent="0.25">
      <c r="A752" s="976"/>
      <c r="B752" s="976"/>
      <c r="C752" s="976"/>
      <c r="D752" s="976"/>
      <c r="E752" s="976"/>
      <c r="F752" s="976"/>
      <c r="G752" s="976"/>
      <c r="H752" s="976"/>
      <c r="I752" s="976"/>
      <c r="J752" s="976"/>
      <c r="K752" s="976"/>
      <c r="L752" s="976"/>
      <c r="M752" s="976"/>
      <c r="N752" s="976"/>
      <c r="O752" s="976"/>
      <c r="P752" s="976"/>
      <c r="Q752" s="976"/>
      <c r="R752" s="976"/>
      <c r="S752" s="976"/>
      <c r="T752" s="976"/>
      <c r="U752" s="976"/>
      <c r="V752" s="976"/>
      <c r="W752" s="976"/>
      <c r="X752" s="976"/>
      <c r="Y752" s="976"/>
      <c r="Z752" s="976"/>
    </row>
    <row r="753" spans="1:26" ht="15" x14ac:dyDescent="0.25">
      <c r="A753" s="976"/>
      <c r="B753" s="976"/>
      <c r="C753" s="976"/>
      <c r="D753" s="976"/>
      <c r="E753" s="976"/>
      <c r="F753" s="976"/>
      <c r="G753" s="976"/>
      <c r="H753" s="976"/>
      <c r="I753" s="976"/>
      <c r="J753" s="976"/>
      <c r="K753" s="976"/>
      <c r="L753" s="976"/>
      <c r="M753" s="976"/>
      <c r="N753" s="976"/>
      <c r="O753" s="976"/>
      <c r="P753" s="976"/>
      <c r="Q753" s="976"/>
      <c r="R753" s="976"/>
      <c r="S753" s="976"/>
      <c r="T753" s="976"/>
      <c r="U753" s="976"/>
      <c r="V753" s="976"/>
      <c r="W753" s="976"/>
      <c r="X753" s="976"/>
      <c r="Y753" s="976"/>
      <c r="Z753" s="976"/>
    </row>
    <row r="754" spans="1:26" ht="15" x14ac:dyDescent="0.25">
      <c r="A754" s="976"/>
      <c r="B754" s="976"/>
      <c r="C754" s="976"/>
      <c r="D754" s="976"/>
      <c r="E754" s="976"/>
      <c r="F754" s="976"/>
      <c r="G754" s="976"/>
      <c r="H754" s="976"/>
      <c r="I754" s="976"/>
      <c r="J754" s="976"/>
      <c r="K754" s="976"/>
      <c r="L754" s="976"/>
      <c r="M754" s="976"/>
      <c r="N754" s="976"/>
      <c r="O754" s="976"/>
      <c r="P754" s="976"/>
      <c r="Q754" s="976"/>
      <c r="R754" s="976"/>
      <c r="S754" s="976"/>
      <c r="T754" s="976"/>
      <c r="U754" s="976"/>
      <c r="V754" s="976"/>
      <c r="W754" s="976"/>
      <c r="X754" s="976"/>
      <c r="Y754" s="976"/>
      <c r="Z754" s="976"/>
    </row>
    <row r="755" spans="1:26" ht="15" x14ac:dyDescent="0.25">
      <c r="A755" s="976"/>
      <c r="B755" s="976"/>
      <c r="C755" s="976"/>
      <c r="D755" s="976"/>
      <c r="E755" s="976"/>
      <c r="F755" s="976"/>
      <c r="G755" s="976"/>
      <c r="H755" s="976"/>
      <c r="I755" s="976"/>
      <c r="J755" s="976"/>
      <c r="K755" s="976"/>
      <c r="L755" s="976"/>
      <c r="M755" s="976"/>
      <c r="N755" s="976"/>
      <c r="O755" s="976"/>
      <c r="P755" s="976"/>
      <c r="Q755" s="976"/>
      <c r="R755" s="976"/>
      <c r="S755" s="976"/>
      <c r="T755" s="976"/>
      <c r="U755" s="976"/>
      <c r="V755" s="976"/>
      <c r="W755" s="976"/>
      <c r="X755" s="976"/>
      <c r="Y755" s="976"/>
      <c r="Z755" s="976"/>
    </row>
    <row r="756" spans="1:26" ht="15" x14ac:dyDescent="0.25">
      <c r="A756" s="976"/>
      <c r="B756" s="976"/>
      <c r="C756" s="976"/>
      <c r="D756" s="976"/>
      <c r="E756" s="976"/>
      <c r="F756" s="976"/>
      <c r="G756" s="976"/>
      <c r="H756" s="976"/>
      <c r="I756" s="976"/>
      <c r="J756" s="976"/>
      <c r="K756" s="976"/>
      <c r="L756" s="976"/>
      <c r="M756" s="976"/>
      <c r="N756" s="976"/>
      <c r="O756" s="976"/>
      <c r="P756" s="976"/>
      <c r="Q756" s="976"/>
      <c r="R756" s="976"/>
      <c r="S756" s="976"/>
      <c r="T756" s="976"/>
      <c r="U756" s="976"/>
      <c r="V756" s="976"/>
      <c r="W756" s="976"/>
      <c r="X756" s="976"/>
      <c r="Y756" s="976"/>
      <c r="Z756" s="976"/>
    </row>
    <row r="757" spans="1:26" ht="15" x14ac:dyDescent="0.25">
      <c r="A757" s="976"/>
      <c r="B757" s="976"/>
      <c r="C757" s="976"/>
      <c r="D757" s="976"/>
      <c r="E757" s="976"/>
      <c r="F757" s="976"/>
      <c r="G757" s="976"/>
      <c r="H757" s="976"/>
      <c r="I757" s="976"/>
      <c r="J757" s="976"/>
      <c r="K757" s="976"/>
      <c r="L757" s="976"/>
      <c r="M757" s="976"/>
      <c r="N757" s="976"/>
      <c r="O757" s="976"/>
      <c r="P757" s="976"/>
      <c r="Q757" s="976"/>
      <c r="R757" s="976"/>
      <c r="S757" s="976"/>
      <c r="T757" s="976"/>
      <c r="U757" s="976"/>
      <c r="V757" s="976"/>
      <c r="W757" s="976"/>
      <c r="X757" s="976"/>
      <c r="Y757" s="976"/>
      <c r="Z757" s="976"/>
    </row>
    <row r="758" spans="1:26" ht="15" x14ac:dyDescent="0.25">
      <c r="A758" s="976"/>
      <c r="B758" s="976"/>
      <c r="C758" s="976"/>
      <c r="D758" s="976"/>
      <c r="E758" s="976"/>
      <c r="F758" s="976"/>
      <c r="G758" s="976"/>
      <c r="H758" s="976"/>
      <c r="I758" s="976"/>
      <c r="J758" s="976"/>
      <c r="K758" s="976"/>
      <c r="L758" s="976"/>
      <c r="M758" s="976"/>
      <c r="N758" s="976"/>
      <c r="O758" s="976"/>
      <c r="P758" s="976"/>
      <c r="Q758" s="976"/>
      <c r="R758" s="976"/>
      <c r="S758" s="976"/>
      <c r="T758" s="976"/>
      <c r="U758" s="976"/>
      <c r="V758" s="976"/>
      <c r="W758" s="976"/>
      <c r="X758" s="976"/>
      <c r="Y758" s="976"/>
      <c r="Z758" s="976"/>
    </row>
    <row r="759" spans="1:26" ht="15" x14ac:dyDescent="0.25">
      <c r="A759" s="976"/>
      <c r="B759" s="976"/>
      <c r="C759" s="976"/>
      <c r="D759" s="976"/>
      <c r="E759" s="976"/>
      <c r="F759" s="976"/>
      <c r="G759" s="976"/>
      <c r="H759" s="976"/>
      <c r="I759" s="976"/>
      <c r="J759" s="976"/>
      <c r="K759" s="976"/>
      <c r="L759" s="976"/>
      <c r="M759" s="976"/>
      <c r="N759" s="976"/>
      <c r="O759" s="976"/>
      <c r="P759" s="976"/>
      <c r="Q759" s="976"/>
      <c r="R759" s="976"/>
      <c r="S759" s="976"/>
      <c r="T759" s="976"/>
      <c r="U759" s="976"/>
      <c r="V759" s="976"/>
      <c r="W759" s="976"/>
      <c r="X759" s="976"/>
      <c r="Y759" s="976"/>
      <c r="Z759" s="976"/>
    </row>
    <row r="760" spans="1:26" ht="15" x14ac:dyDescent="0.25">
      <c r="A760" s="976"/>
      <c r="B760" s="976"/>
      <c r="C760" s="976"/>
      <c r="D760" s="976"/>
      <c r="E760" s="976"/>
      <c r="F760" s="976"/>
      <c r="G760" s="976"/>
      <c r="H760" s="976"/>
      <c r="I760" s="976"/>
      <c r="J760" s="976"/>
      <c r="K760" s="976"/>
      <c r="L760" s="976"/>
      <c r="M760" s="976"/>
      <c r="N760" s="976"/>
      <c r="O760" s="976"/>
      <c r="P760" s="976"/>
      <c r="Q760" s="976"/>
      <c r="R760" s="976"/>
      <c r="S760" s="976"/>
      <c r="T760" s="976"/>
      <c r="U760" s="976"/>
      <c r="V760" s="976"/>
      <c r="W760" s="976"/>
      <c r="X760" s="976"/>
      <c r="Y760" s="976"/>
      <c r="Z760" s="976"/>
    </row>
    <row r="761" spans="1:26" ht="15" x14ac:dyDescent="0.25">
      <c r="A761" s="976"/>
      <c r="B761" s="976"/>
      <c r="C761" s="976"/>
      <c r="D761" s="976"/>
      <c r="E761" s="976"/>
      <c r="F761" s="976"/>
      <c r="G761" s="976"/>
      <c r="H761" s="976"/>
      <c r="I761" s="976"/>
      <c r="J761" s="976"/>
      <c r="K761" s="976"/>
      <c r="L761" s="976"/>
      <c r="M761" s="976"/>
      <c r="N761" s="976"/>
      <c r="O761" s="976"/>
      <c r="P761" s="976"/>
      <c r="Q761" s="976"/>
      <c r="R761" s="976"/>
      <c r="S761" s="976"/>
      <c r="T761" s="976"/>
      <c r="U761" s="976"/>
      <c r="V761" s="976"/>
      <c r="W761" s="976"/>
      <c r="X761" s="976"/>
      <c r="Y761" s="976"/>
      <c r="Z761" s="976"/>
    </row>
    <row r="762" spans="1:26" ht="15" x14ac:dyDescent="0.25">
      <c r="A762" s="976"/>
      <c r="B762" s="976"/>
      <c r="C762" s="976"/>
      <c r="D762" s="976"/>
      <c r="E762" s="976"/>
      <c r="F762" s="976"/>
      <c r="G762" s="976"/>
      <c r="H762" s="976"/>
      <c r="I762" s="976"/>
      <c r="J762" s="976"/>
      <c r="K762" s="976"/>
      <c r="L762" s="976"/>
      <c r="M762" s="976"/>
      <c r="N762" s="976"/>
      <c r="O762" s="976"/>
      <c r="P762" s="976"/>
      <c r="Q762" s="976"/>
      <c r="R762" s="976"/>
      <c r="S762" s="976"/>
      <c r="T762" s="976"/>
      <c r="U762" s="976"/>
      <c r="V762" s="976"/>
      <c r="W762" s="976"/>
      <c r="X762" s="976"/>
      <c r="Y762" s="976"/>
      <c r="Z762" s="976"/>
    </row>
    <row r="763" spans="1:26" ht="15" x14ac:dyDescent="0.25">
      <c r="A763" s="976"/>
      <c r="B763" s="976"/>
      <c r="C763" s="976"/>
      <c r="D763" s="976"/>
      <c r="E763" s="976"/>
      <c r="F763" s="976"/>
      <c r="G763" s="976"/>
      <c r="H763" s="976"/>
      <c r="I763" s="976"/>
      <c r="J763" s="976"/>
      <c r="K763" s="976"/>
      <c r="L763" s="976"/>
      <c r="M763" s="976"/>
      <c r="N763" s="976"/>
      <c r="O763" s="976"/>
      <c r="P763" s="976"/>
      <c r="Q763" s="976"/>
      <c r="R763" s="976"/>
      <c r="S763" s="976"/>
      <c r="T763" s="976"/>
      <c r="U763" s="976"/>
      <c r="V763" s="976"/>
      <c r="W763" s="976"/>
      <c r="X763" s="976"/>
      <c r="Y763" s="976"/>
      <c r="Z763" s="976"/>
    </row>
    <row r="764" spans="1:26" ht="15" x14ac:dyDescent="0.25">
      <c r="A764" s="976"/>
      <c r="B764" s="976"/>
      <c r="C764" s="976"/>
      <c r="D764" s="976"/>
      <c r="E764" s="976"/>
      <c r="F764" s="976"/>
      <c r="G764" s="976"/>
      <c r="H764" s="976"/>
      <c r="I764" s="976"/>
      <c r="J764" s="976"/>
      <c r="K764" s="976"/>
      <c r="L764" s="976"/>
      <c r="M764" s="976"/>
      <c r="N764" s="976"/>
      <c r="O764" s="976"/>
      <c r="P764" s="976"/>
      <c r="Q764" s="976"/>
      <c r="R764" s="976"/>
      <c r="S764" s="976"/>
      <c r="T764" s="976"/>
      <c r="U764" s="976"/>
      <c r="V764" s="976"/>
      <c r="W764" s="976"/>
      <c r="X764" s="976"/>
      <c r="Y764" s="976"/>
      <c r="Z764" s="976"/>
    </row>
    <row r="765" spans="1:26" ht="15" x14ac:dyDescent="0.25">
      <c r="A765" s="976"/>
      <c r="B765" s="976"/>
      <c r="C765" s="976"/>
      <c r="D765" s="976"/>
      <c r="E765" s="976"/>
      <c r="F765" s="976"/>
      <c r="G765" s="976"/>
      <c r="H765" s="976"/>
      <c r="I765" s="976"/>
      <c r="J765" s="976"/>
      <c r="K765" s="976"/>
      <c r="L765" s="976"/>
      <c r="M765" s="976"/>
      <c r="N765" s="976"/>
      <c r="O765" s="976"/>
      <c r="P765" s="976"/>
      <c r="Q765" s="976"/>
      <c r="R765" s="976"/>
      <c r="S765" s="976"/>
      <c r="T765" s="976"/>
      <c r="U765" s="976"/>
      <c r="V765" s="976"/>
      <c r="W765" s="976"/>
      <c r="X765" s="976"/>
      <c r="Y765" s="976"/>
      <c r="Z765" s="976"/>
    </row>
    <row r="766" spans="1:26" ht="15" x14ac:dyDescent="0.25">
      <c r="A766" s="976"/>
      <c r="B766" s="976"/>
      <c r="C766" s="976"/>
      <c r="D766" s="976"/>
      <c r="E766" s="976"/>
      <c r="F766" s="976"/>
      <c r="G766" s="976"/>
      <c r="H766" s="976"/>
      <c r="I766" s="976"/>
      <c r="J766" s="976"/>
      <c r="K766" s="976"/>
      <c r="L766" s="976"/>
      <c r="M766" s="976"/>
      <c r="N766" s="976"/>
      <c r="O766" s="976"/>
      <c r="P766" s="976"/>
      <c r="Q766" s="976"/>
      <c r="R766" s="976"/>
      <c r="S766" s="976"/>
      <c r="T766" s="976"/>
      <c r="U766" s="976"/>
      <c r="V766" s="976"/>
      <c r="W766" s="976"/>
      <c r="X766" s="976"/>
      <c r="Y766" s="976"/>
      <c r="Z766" s="976"/>
    </row>
    <row r="767" spans="1:26" ht="15" x14ac:dyDescent="0.25">
      <c r="A767" s="976"/>
      <c r="B767" s="976"/>
      <c r="C767" s="976"/>
      <c r="D767" s="976"/>
      <c r="E767" s="976"/>
      <c r="F767" s="976"/>
      <c r="G767" s="976"/>
      <c r="H767" s="976"/>
      <c r="I767" s="976"/>
      <c r="J767" s="976"/>
      <c r="K767" s="976"/>
      <c r="L767" s="976"/>
      <c r="M767" s="976"/>
      <c r="N767" s="976"/>
      <c r="O767" s="976"/>
      <c r="P767" s="976"/>
      <c r="Q767" s="976"/>
      <c r="R767" s="976"/>
      <c r="S767" s="976"/>
      <c r="T767" s="976"/>
      <c r="U767" s="976"/>
      <c r="V767" s="976"/>
      <c r="W767" s="976"/>
      <c r="X767" s="976"/>
      <c r="Y767" s="976"/>
      <c r="Z767" s="976"/>
    </row>
    <row r="768" spans="1:26" ht="15" x14ac:dyDescent="0.25">
      <c r="A768" s="976"/>
      <c r="B768" s="976"/>
      <c r="C768" s="976"/>
      <c r="D768" s="976"/>
      <c r="E768" s="976"/>
      <c r="F768" s="976"/>
      <c r="G768" s="976"/>
      <c r="H768" s="976"/>
      <c r="I768" s="976"/>
      <c r="J768" s="976"/>
      <c r="K768" s="976"/>
      <c r="L768" s="976"/>
      <c r="M768" s="976"/>
      <c r="N768" s="976"/>
      <c r="O768" s="976"/>
      <c r="P768" s="976"/>
      <c r="Q768" s="976"/>
      <c r="R768" s="976"/>
      <c r="S768" s="976"/>
      <c r="T768" s="976"/>
      <c r="U768" s="976"/>
      <c r="V768" s="976"/>
      <c r="W768" s="976"/>
      <c r="X768" s="976"/>
      <c r="Y768" s="976"/>
      <c r="Z768" s="976"/>
    </row>
    <row r="769" spans="1:26" ht="15" x14ac:dyDescent="0.25">
      <c r="A769" s="976"/>
      <c r="B769" s="976"/>
      <c r="C769" s="976"/>
      <c r="D769" s="976"/>
      <c r="E769" s="976"/>
      <c r="F769" s="976"/>
      <c r="G769" s="976"/>
      <c r="H769" s="976"/>
      <c r="I769" s="976"/>
      <c r="J769" s="976"/>
      <c r="K769" s="976"/>
      <c r="L769" s="976"/>
      <c r="M769" s="976"/>
      <c r="N769" s="976"/>
      <c r="O769" s="976"/>
      <c r="P769" s="976"/>
      <c r="Q769" s="976"/>
      <c r="R769" s="976"/>
      <c r="S769" s="976"/>
      <c r="T769" s="976"/>
      <c r="U769" s="976"/>
      <c r="V769" s="976"/>
      <c r="W769" s="976"/>
      <c r="X769" s="976"/>
      <c r="Y769" s="976"/>
      <c r="Z769" s="976"/>
    </row>
    <row r="770" spans="1:26" ht="15" x14ac:dyDescent="0.25">
      <c r="A770" s="976"/>
      <c r="B770" s="976"/>
      <c r="C770" s="976"/>
      <c r="D770" s="976"/>
      <c r="E770" s="976"/>
      <c r="F770" s="976"/>
      <c r="G770" s="976"/>
      <c r="H770" s="976"/>
      <c r="I770" s="976"/>
      <c r="J770" s="976"/>
      <c r="K770" s="976"/>
      <c r="L770" s="976"/>
      <c r="M770" s="976"/>
      <c r="N770" s="976"/>
      <c r="O770" s="976"/>
      <c r="P770" s="976"/>
      <c r="Q770" s="976"/>
      <c r="R770" s="976"/>
      <c r="S770" s="976"/>
      <c r="T770" s="976"/>
      <c r="U770" s="976"/>
      <c r="V770" s="976"/>
      <c r="W770" s="976"/>
      <c r="X770" s="976"/>
      <c r="Y770" s="976"/>
      <c r="Z770" s="976"/>
    </row>
    <row r="771" spans="1:26" ht="15" x14ac:dyDescent="0.25">
      <c r="A771" s="976"/>
      <c r="B771" s="976"/>
      <c r="C771" s="976"/>
      <c r="D771" s="976"/>
      <c r="E771" s="976"/>
      <c r="F771" s="976"/>
      <c r="G771" s="976"/>
      <c r="H771" s="976"/>
      <c r="I771" s="976"/>
      <c r="J771" s="976"/>
      <c r="K771" s="976"/>
      <c r="L771" s="976"/>
      <c r="M771" s="976"/>
      <c r="N771" s="976"/>
      <c r="O771" s="976"/>
      <c r="P771" s="976"/>
      <c r="Q771" s="976"/>
      <c r="R771" s="976"/>
      <c r="S771" s="976"/>
      <c r="T771" s="976"/>
      <c r="U771" s="976"/>
      <c r="V771" s="976"/>
      <c r="W771" s="976"/>
      <c r="X771" s="976"/>
      <c r="Y771" s="976"/>
      <c r="Z771" s="976"/>
    </row>
    <row r="772" spans="1:26" ht="15" x14ac:dyDescent="0.25">
      <c r="A772" s="976"/>
      <c r="B772" s="976"/>
      <c r="C772" s="976"/>
      <c r="D772" s="976"/>
      <c r="E772" s="976"/>
      <c r="F772" s="976"/>
      <c r="G772" s="976"/>
      <c r="H772" s="976"/>
      <c r="I772" s="976"/>
      <c r="J772" s="976"/>
      <c r="K772" s="976"/>
      <c r="L772" s="976"/>
      <c r="M772" s="976"/>
      <c r="N772" s="976"/>
      <c r="O772" s="976"/>
      <c r="P772" s="976"/>
      <c r="Q772" s="976"/>
      <c r="R772" s="976"/>
      <c r="S772" s="976"/>
      <c r="T772" s="976"/>
      <c r="U772" s="976"/>
      <c r="V772" s="976"/>
      <c r="W772" s="976"/>
      <c r="X772" s="976"/>
      <c r="Y772" s="976"/>
      <c r="Z772" s="976"/>
    </row>
    <row r="773" spans="1:26" ht="15" x14ac:dyDescent="0.25">
      <c r="A773" s="976"/>
      <c r="B773" s="976"/>
      <c r="C773" s="976"/>
      <c r="D773" s="976"/>
      <c r="E773" s="976"/>
      <c r="F773" s="976"/>
      <c r="G773" s="976"/>
      <c r="H773" s="976"/>
      <c r="I773" s="976"/>
      <c r="J773" s="976"/>
      <c r="K773" s="976"/>
      <c r="L773" s="976"/>
      <c r="M773" s="976"/>
      <c r="N773" s="976"/>
      <c r="O773" s="976"/>
      <c r="P773" s="976"/>
      <c r="Q773" s="976"/>
      <c r="R773" s="976"/>
      <c r="S773" s="976"/>
      <c r="T773" s="976"/>
      <c r="U773" s="976"/>
      <c r="V773" s="976"/>
      <c r="W773" s="976"/>
      <c r="X773" s="976"/>
      <c r="Y773" s="976"/>
      <c r="Z773" s="976"/>
    </row>
    <row r="774" spans="1:26" ht="15" x14ac:dyDescent="0.25">
      <c r="A774" s="976"/>
      <c r="B774" s="976"/>
      <c r="C774" s="976"/>
      <c r="D774" s="976"/>
      <c r="E774" s="976"/>
      <c r="F774" s="976"/>
      <c r="G774" s="976"/>
      <c r="H774" s="976"/>
      <c r="I774" s="976"/>
      <c r="J774" s="976"/>
      <c r="K774" s="976"/>
      <c r="L774" s="976"/>
      <c r="M774" s="976"/>
      <c r="N774" s="976"/>
      <c r="O774" s="976"/>
      <c r="P774" s="976"/>
      <c r="Q774" s="976"/>
      <c r="R774" s="976"/>
      <c r="S774" s="976"/>
      <c r="T774" s="976"/>
      <c r="U774" s="976"/>
      <c r="V774" s="976"/>
      <c r="W774" s="976"/>
      <c r="X774" s="976"/>
      <c r="Y774" s="976"/>
      <c r="Z774" s="976"/>
    </row>
    <row r="775" spans="1:26" ht="15" x14ac:dyDescent="0.25">
      <c r="A775" s="976"/>
      <c r="B775" s="976"/>
      <c r="C775" s="976"/>
      <c r="D775" s="976"/>
      <c r="E775" s="976"/>
      <c r="F775" s="976"/>
      <c r="G775" s="976"/>
      <c r="H775" s="976"/>
      <c r="I775" s="976"/>
      <c r="J775" s="976"/>
      <c r="K775" s="976"/>
      <c r="L775" s="976"/>
      <c r="M775" s="976"/>
      <c r="N775" s="976"/>
      <c r="O775" s="976"/>
      <c r="P775" s="976"/>
      <c r="Q775" s="976"/>
      <c r="R775" s="976"/>
      <c r="S775" s="976"/>
      <c r="T775" s="976"/>
      <c r="U775" s="976"/>
      <c r="V775" s="976"/>
      <c r="W775" s="976"/>
      <c r="X775" s="976"/>
      <c r="Y775" s="976"/>
      <c r="Z775" s="976"/>
    </row>
    <row r="776" spans="1:26" ht="15" x14ac:dyDescent="0.25">
      <c r="A776" s="976"/>
      <c r="B776" s="976"/>
      <c r="C776" s="976"/>
      <c r="D776" s="976"/>
      <c r="E776" s="976"/>
      <c r="F776" s="976"/>
      <c r="G776" s="976"/>
      <c r="H776" s="976"/>
      <c r="I776" s="976"/>
      <c r="J776" s="976"/>
      <c r="K776" s="976"/>
      <c r="L776" s="976"/>
      <c r="M776" s="976"/>
      <c r="N776" s="976"/>
      <c r="O776" s="976"/>
      <c r="P776" s="976"/>
      <c r="Q776" s="976"/>
      <c r="R776" s="976"/>
      <c r="S776" s="976"/>
      <c r="T776" s="976"/>
      <c r="U776" s="976"/>
      <c r="V776" s="976"/>
      <c r="W776" s="976"/>
      <c r="X776" s="976"/>
      <c r="Y776" s="976"/>
      <c r="Z776" s="976"/>
    </row>
    <row r="777" spans="1:26" ht="15" x14ac:dyDescent="0.25">
      <c r="A777" s="976"/>
      <c r="B777" s="976"/>
      <c r="C777" s="976"/>
      <c r="D777" s="976"/>
      <c r="E777" s="976"/>
      <c r="F777" s="976"/>
      <c r="G777" s="976"/>
      <c r="H777" s="976"/>
      <c r="I777" s="976"/>
      <c r="J777" s="976"/>
      <c r="K777" s="976"/>
      <c r="L777" s="976"/>
      <c r="M777" s="976"/>
      <c r="N777" s="976"/>
      <c r="O777" s="976"/>
      <c r="P777" s="976"/>
      <c r="Q777" s="976"/>
      <c r="R777" s="976"/>
      <c r="S777" s="976"/>
      <c r="T777" s="976"/>
      <c r="U777" s="976"/>
      <c r="V777" s="976"/>
      <c r="W777" s="976"/>
      <c r="X777" s="976"/>
      <c r="Y777" s="976"/>
      <c r="Z777" s="976"/>
    </row>
    <row r="778" spans="1:26" ht="15" x14ac:dyDescent="0.25">
      <c r="A778" s="976"/>
      <c r="B778" s="976"/>
      <c r="C778" s="976"/>
      <c r="D778" s="976"/>
      <c r="E778" s="976"/>
      <c r="F778" s="976"/>
      <c r="G778" s="976"/>
      <c r="H778" s="976"/>
      <c r="I778" s="976"/>
      <c r="J778" s="976"/>
      <c r="K778" s="976"/>
      <c r="L778" s="976"/>
      <c r="M778" s="976"/>
      <c r="N778" s="976"/>
      <c r="O778" s="976"/>
      <c r="P778" s="976"/>
      <c r="Q778" s="976"/>
      <c r="R778" s="976"/>
      <c r="S778" s="976"/>
      <c r="T778" s="976"/>
      <c r="U778" s="976"/>
      <c r="V778" s="976"/>
      <c r="W778" s="976"/>
      <c r="X778" s="976"/>
      <c r="Y778" s="976"/>
      <c r="Z778" s="976"/>
    </row>
    <row r="779" spans="1:26" ht="15" x14ac:dyDescent="0.25">
      <c r="A779" s="976"/>
      <c r="B779" s="976"/>
      <c r="C779" s="976"/>
      <c r="D779" s="976"/>
      <c r="E779" s="976"/>
      <c r="F779" s="976"/>
      <c r="G779" s="976"/>
      <c r="H779" s="976"/>
      <c r="I779" s="976"/>
      <c r="J779" s="976"/>
      <c r="K779" s="976"/>
      <c r="L779" s="976"/>
      <c r="M779" s="976"/>
      <c r="N779" s="976"/>
      <c r="O779" s="976"/>
      <c r="P779" s="976"/>
      <c r="Q779" s="976"/>
      <c r="R779" s="976"/>
      <c r="S779" s="976"/>
      <c r="T779" s="976"/>
      <c r="U779" s="976"/>
      <c r="V779" s="976"/>
      <c r="W779" s="976"/>
      <c r="X779" s="976"/>
      <c r="Y779" s="976"/>
      <c r="Z779" s="976"/>
    </row>
    <row r="780" spans="1:26" ht="15" x14ac:dyDescent="0.25">
      <c r="A780" s="976"/>
      <c r="B780" s="976"/>
      <c r="C780" s="976"/>
      <c r="D780" s="976"/>
      <c r="E780" s="976"/>
      <c r="F780" s="976"/>
      <c r="G780" s="976"/>
      <c r="H780" s="976"/>
      <c r="I780" s="976"/>
      <c r="J780" s="976"/>
      <c r="K780" s="976"/>
      <c r="L780" s="976"/>
      <c r="M780" s="976"/>
      <c r="N780" s="976"/>
      <c r="O780" s="976"/>
      <c r="P780" s="976"/>
      <c r="Q780" s="976"/>
      <c r="R780" s="976"/>
      <c r="S780" s="976"/>
      <c r="T780" s="976"/>
      <c r="U780" s="976"/>
      <c r="V780" s="976"/>
      <c r="W780" s="976"/>
      <c r="X780" s="976"/>
      <c r="Y780" s="976"/>
      <c r="Z780" s="976"/>
    </row>
    <row r="781" spans="1:26" ht="15" x14ac:dyDescent="0.25">
      <c r="A781" s="976"/>
      <c r="B781" s="976"/>
      <c r="C781" s="976"/>
      <c r="D781" s="976"/>
      <c r="E781" s="976"/>
      <c r="F781" s="976"/>
      <c r="G781" s="976"/>
      <c r="H781" s="976"/>
      <c r="I781" s="976"/>
      <c r="J781" s="976"/>
      <c r="K781" s="976"/>
      <c r="L781" s="976"/>
      <c r="M781" s="976"/>
      <c r="N781" s="976"/>
      <c r="O781" s="976"/>
      <c r="P781" s="976"/>
      <c r="Q781" s="976"/>
      <c r="R781" s="976"/>
      <c r="S781" s="976"/>
      <c r="T781" s="976"/>
      <c r="U781" s="976"/>
      <c r="V781" s="976"/>
      <c r="W781" s="976"/>
      <c r="X781" s="976"/>
      <c r="Y781" s="976"/>
      <c r="Z781" s="976"/>
    </row>
    <row r="782" spans="1:26" ht="15" x14ac:dyDescent="0.25">
      <c r="A782" s="976"/>
      <c r="B782" s="976"/>
      <c r="C782" s="976"/>
      <c r="D782" s="976"/>
      <c r="E782" s="976"/>
      <c r="F782" s="976"/>
      <c r="G782" s="976"/>
      <c r="H782" s="976"/>
      <c r="I782" s="976"/>
      <c r="J782" s="976"/>
      <c r="K782" s="976"/>
      <c r="L782" s="976"/>
      <c r="M782" s="976"/>
      <c r="N782" s="976"/>
      <c r="O782" s="976"/>
      <c r="P782" s="976"/>
      <c r="Q782" s="976"/>
      <c r="R782" s="976"/>
      <c r="S782" s="976"/>
      <c r="T782" s="976"/>
      <c r="U782" s="976"/>
      <c r="V782" s="976"/>
      <c r="W782" s="976"/>
      <c r="X782" s="976"/>
      <c r="Y782" s="976"/>
      <c r="Z782" s="976"/>
    </row>
    <row r="783" spans="1:26" ht="15" x14ac:dyDescent="0.25">
      <c r="A783" s="976"/>
      <c r="B783" s="976"/>
      <c r="C783" s="976"/>
      <c r="D783" s="976"/>
      <c r="E783" s="976"/>
      <c r="F783" s="976"/>
      <c r="G783" s="976"/>
      <c r="H783" s="976"/>
      <c r="I783" s="976"/>
      <c r="J783" s="976"/>
      <c r="K783" s="976"/>
      <c r="L783" s="976"/>
      <c r="M783" s="976"/>
      <c r="N783" s="976"/>
      <c r="O783" s="976"/>
      <c r="P783" s="976"/>
      <c r="Q783" s="976"/>
      <c r="R783" s="976"/>
      <c r="S783" s="976"/>
      <c r="T783" s="976"/>
      <c r="U783" s="976"/>
      <c r="V783" s="976"/>
      <c r="W783" s="976"/>
      <c r="X783" s="976"/>
      <c r="Y783" s="976"/>
      <c r="Z783" s="976"/>
    </row>
    <row r="784" spans="1:26" ht="15" x14ac:dyDescent="0.25">
      <c r="A784" s="976"/>
      <c r="B784" s="976"/>
      <c r="C784" s="976"/>
      <c r="D784" s="976"/>
      <c r="E784" s="976"/>
      <c r="F784" s="976"/>
      <c r="G784" s="976"/>
      <c r="H784" s="976"/>
      <c r="I784" s="976"/>
      <c r="J784" s="976"/>
      <c r="K784" s="976"/>
      <c r="L784" s="976"/>
      <c r="M784" s="976"/>
      <c r="N784" s="976"/>
      <c r="O784" s="976"/>
      <c r="P784" s="976"/>
      <c r="Q784" s="976"/>
      <c r="R784" s="976"/>
      <c r="S784" s="976"/>
      <c r="T784" s="976"/>
      <c r="U784" s="976"/>
      <c r="V784" s="976"/>
      <c r="W784" s="976"/>
      <c r="X784" s="976"/>
      <c r="Y784" s="976"/>
      <c r="Z784" s="976"/>
    </row>
    <row r="785" spans="1:26" ht="15" x14ac:dyDescent="0.25">
      <c r="A785" s="976"/>
      <c r="B785" s="976"/>
      <c r="C785" s="976"/>
      <c r="D785" s="976"/>
      <c r="E785" s="976"/>
      <c r="F785" s="976"/>
      <c r="G785" s="976"/>
      <c r="H785" s="976"/>
      <c r="I785" s="976"/>
      <c r="J785" s="976"/>
      <c r="K785" s="976"/>
      <c r="L785" s="976"/>
      <c r="M785" s="976"/>
      <c r="N785" s="976"/>
      <c r="O785" s="976"/>
      <c r="P785" s="976"/>
      <c r="Q785" s="976"/>
      <c r="R785" s="976"/>
      <c r="S785" s="976"/>
      <c r="T785" s="976"/>
      <c r="U785" s="976"/>
      <c r="V785" s="976"/>
      <c r="W785" s="976"/>
      <c r="X785" s="976"/>
      <c r="Y785" s="976"/>
      <c r="Z785" s="976"/>
    </row>
    <row r="786" spans="1:26" ht="15" x14ac:dyDescent="0.25">
      <c r="A786" s="976"/>
      <c r="B786" s="976"/>
      <c r="C786" s="976"/>
      <c r="D786" s="976"/>
      <c r="E786" s="976"/>
      <c r="F786" s="976"/>
      <c r="G786" s="976"/>
      <c r="H786" s="976"/>
      <c r="I786" s="976"/>
      <c r="J786" s="976"/>
      <c r="K786" s="976"/>
      <c r="L786" s="976"/>
      <c r="M786" s="976"/>
      <c r="N786" s="976"/>
      <c r="O786" s="976"/>
      <c r="P786" s="976"/>
      <c r="Q786" s="976"/>
      <c r="R786" s="976"/>
      <c r="S786" s="976"/>
      <c r="T786" s="976"/>
      <c r="U786" s="976"/>
      <c r="V786" s="976"/>
      <c r="W786" s="976"/>
      <c r="X786" s="976"/>
      <c r="Y786" s="976"/>
      <c r="Z786" s="976"/>
    </row>
    <row r="787" spans="1:26" ht="15" x14ac:dyDescent="0.25">
      <c r="A787" s="976"/>
      <c r="B787" s="976"/>
      <c r="C787" s="976"/>
      <c r="D787" s="976"/>
      <c r="E787" s="976"/>
      <c r="F787" s="976"/>
      <c r="G787" s="976"/>
      <c r="H787" s="976"/>
      <c r="I787" s="976"/>
      <c r="J787" s="976"/>
      <c r="K787" s="976"/>
      <c r="L787" s="976"/>
      <c r="M787" s="976"/>
      <c r="N787" s="976"/>
      <c r="O787" s="976"/>
      <c r="P787" s="976"/>
      <c r="Q787" s="976"/>
      <c r="R787" s="976"/>
      <c r="S787" s="976"/>
      <c r="T787" s="976"/>
      <c r="U787" s="976"/>
      <c r="V787" s="976"/>
      <c r="W787" s="976"/>
      <c r="X787" s="976"/>
      <c r="Y787" s="976"/>
      <c r="Z787" s="976"/>
    </row>
    <row r="788" spans="1:26" ht="15" x14ac:dyDescent="0.25">
      <c r="A788" s="976"/>
      <c r="B788" s="976"/>
      <c r="C788" s="976"/>
      <c r="D788" s="976"/>
      <c r="E788" s="976"/>
      <c r="F788" s="976"/>
      <c r="G788" s="976"/>
      <c r="H788" s="976"/>
      <c r="I788" s="976"/>
      <c r="J788" s="976"/>
      <c r="K788" s="976"/>
      <c r="L788" s="976"/>
      <c r="M788" s="976"/>
      <c r="N788" s="976"/>
      <c r="O788" s="976"/>
      <c r="P788" s="976"/>
      <c r="Q788" s="976"/>
      <c r="R788" s="976"/>
      <c r="S788" s="976"/>
      <c r="T788" s="976"/>
      <c r="U788" s="976"/>
      <c r="V788" s="976"/>
      <c r="W788" s="976"/>
      <c r="X788" s="976"/>
      <c r="Y788" s="976"/>
      <c r="Z788" s="976"/>
    </row>
    <row r="789" spans="1:26" ht="15" x14ac:dyDescent="0.25">
      <c r="A789" s="976"/>
      <c r="B789" s="976"/>
      <c r="C789" s="976"/>
      <c r="D789" s="976"/>
      <c r="E789" s="976"/>
      <c r="F789" s="976"/>
      <c r="G789" s="976"/>
      <c r="H789" s="976"/>
      <c r="I789" s="976"/>
      <c r="J789" s="976"/>
      <c r="K789" s="976"/>
      <c r="L789" s="976"/>
      <c r="M789" s="976"/>
      <c r="N789" s="976"/>
      <c r="O789" s="976"/>
      <c r="P789" s="976"/>
      <c r="Q789" s="976"/>
      <c r="R789" s="976"/>
      <c r="S789" s="976"/>
      <c r="T789" s="976"/>
      <c r="U789" s="976"/>
      <c r="V789" s="976"/>
      <c r="W789" s="976"/>
      <c r="X789" s="976"/>
      <c r="Y789" s="976"/>
      <c r="Z789" s="976"/>
    </row>
    <row r="790" spans="1:26" ht="15" x14ac:dyDescent="0.25">
      <c r="A790" s="976"/>
      <c r="B790" s="976"/>
      <c r="C790" s="976"/>
      <c r="D790" s="976"/>
      <c r="E790" s="976"/>
      <c r="F790" s="976"/>
      <c r="G790" s="976"/>
      <c r="H790" s="976"/>
      <c r="I790" s="976"/>
      <c r="J790" s="976"/>
      <c r="K790" s="976"/>
      <c r="L790" s="976"/>
      <c r="M790" s="976"/>
      <c r="N790" s="976"/>
      <c r="O790" s="976"/>
      <c r="P790" s="976"/>
      <c r="Q790" s="976"/>
      <c r="R790" s="976"/>
      <c r="S790" s="976"/>
      <c r="T790" s="976"/>
      <c r="U790" s="976"/>
      <c r="V790" s="976"/>
      <c r="W790" s="976"/>
      <c r="X790" s="976"/>
      <c r="Y790" s="976"/>
      <c r="Z790" s="976"/>
    </row>
    <row r="791" spans="1:26" ht="15" x14ac:dyDescent="0.25">
      <c r="A791" s="976"/>
      <c r="B791" s="976"/>
      <c r="C791" s="976"/>
      <c r="D791" s="976"/>
      <c r="E791" s="976"/>
      <c r="F791" s="976"/>
      <c r="G791" s="976"/>
      <c r="H791" s="976"/>
      <c r="I791" s="976"/>
      <c r="J791" s="976"/>
      <c r="K791" s="976"/>
      <c r="L791" s="976"/>
      <c r="M791" s="976"/>
      <c r="N791" s="976"/>
      <c r="O791" s="976"/>
      <c r="P791" s="976"/>
      <c r="Q791" s="976"/>
      <c r="R791" s="976"/>
      <c r="S791" s="976"/>
      <c r="T791" s="976"/>
      <c r="U791" s="976"/>
      <c r="V791" s="976"/>
      <c r="W791" s="976"/>
      <c r="X791" s="976"/>
      <c r="Y791" s="976"/>
      <c r="Z791" s="976"/>
    </row>
    <row r="792" spans="1:26" ht="15" x14ac:dyDescent="0.25">
      <c r="A792" s="976"/>
      <c r="B792" s="976"/>
      <c r="C792" s="976"/>
      <c r="D792" s="976"/>
      <c r="E792" s="976"/>
      <c r="F792" s="976"/>
      <c r="G792" s="976"/>
      <c r="H792" s="976"/>
      <c r="I792" s="976"/>
      <c r="J792" s="976"/>
      <c r="K792" s="976"/>
      <c r="L792" s="976"/>
      <c r="M792" s="976"/>
      <c r="N792" s="976"/>
      <c r="O792" s="976"/>
      <c r="P792" s="976"/>
      <c r="Q792" s="976"/>
      <c r="R792" s="976"/>
      <c r="S792" s="976"/>
      <c r="T792" s="976"/>
      <c r="U792" s="976"/>
      <c r="V792" s="976"/>
      <c r="W792" s="976"/>
      <c r="X792" s="976"/>
      <c r="Y792" s="976"/>
      <c r="Z792" s="976"/>
    </row>
    <row r="793" spans="1:26" ht="15" x14ac:dyDescent="0.25">
      <c r="A793" s="976"/>
      <c r="B793" s="976"/>
      <c r="C793" s="976"/>
      <c r="D793" s="976"/>
      <c r="E793" s="976"/>
      <c r="F793" s="976"/>
      <c r="G793" s="976"/>
      <c r="H793" s="976"/>
      <c r="I793" s="976"/>
      <c r="J793" s="976"/>
      <c r="K793" s="976"/>
      <c r="L793" s="976"/>
      <c r="M793" s="976"/>
      <c r="N793" s="976"/>
      <c r="O793" s="976"/>
      <c r="P793" s="976"/>
      <c r="Q793" s="976"/>
      <c r="R793" s="976"/>
      <c r="S793" s="976"/>
      <c r="T793" s="976"/>
      <c r="U793" s="976"/>
      <c r="V793" s="976"/>
      <c r="W793" s="976"/>
      <c r="X793" s="976"/>
      <c r="Y793" s="976"/>
      <c r="Z793" s="976"/>
    </row>
    <row r="794" spans="1:26" ht="15" x14ac:dyDescent="0.25">
      <c r="A794" s="976"/>
      <c r="B794" s="976"/>
      <c r="C794" s="976"/>
      <c r="D794" s="976"/>
      <c r="E794" s="976"/>
      <c r="F794" s="976"/>
      <c r="G794" s="976"/>
      <c r="H794" s="976"/>
      <c r="I794" s="976"/>
      <c r="J794" s="976"/>
      <c r="K794" s="976"/>
      <c r="L794" s="976"/>
      <c r="M794" s="976"/>
      <c r="N794" s="976"/>
      <c r="O794" s="976"/>
      <c r="P794" s="976"/>
      <c r="Q794" s="976"/>
      <c r="R794" s="976"/>
      <c r="S794" s="976"/>
      <c r="T794" s="976"/>
      <c r="U794" s="976"/>
      <c r="V794" s="976"/>
      <c r="W794" s="976"/>
      <c r="X794" s="976"/>
      <c r="Y794" s="976"/>
      <c r="Z794" s="976"/>
    </row>
    <row r="795" spans="1:26" ht="15" x14ac:dyDescent="0.25">
      <c r="A795" s="976"/>
      <c r="B795" s="976"/>
      <c r="C795" s="976"/>
      <c r="D795" s="976"/>
      <c r="E795" s="976"/>
      <c r="F795" s="976"/>
      <c r="G795" s="976"/>
      <c r="H795" s="976"/>
      <c r="I795" s="976"/>
      <c r="J795" s="976"/>
      <c r="K795" s="976"/>
      <c r="L795" s="976"/>
      <c r="M795" s="976"/>
      <c r="N795" s="976"/>
      <c r="O795" s="976"/>
      <c r="P795" s="976"/>
      <c r="Q795" s="976"/>
      <c r="R795" s="976"/>
      <c r="S795" s="976"/>
      <c r="T795" s="976"/>
      <c r="U795" s="976"/>
      <c r="V795" s="976"/>
      <c r="W795" s="976"/>
      <c r="X795" s="976"/>
      <c r="Y795" s="976"/>
      <c r="Z795" s="976"/>
    </row>
    <row r="796" spans="1:26" ht="15" x14ac:dyDescent="0.25">
      <c r="A796" s="976"/>
      <c r="B796" s="976"/>
      <c r="C796" s="976"/>
      <c r="D796" s="976"/>
      <c r="E796" s="976"/>
      <c r="F796" s="976"/>
      <c r="G796" s="976"/>
      <c r="H796" s="976"/>
      <c r="I796" s="976"/>
      <c r="J796" s="976"/>
      <c r="K796" s="976"/>
      <c r="L796" s="976"/>
      <c r="M796" s="976"/>
      <c r="N796" s="976"/>
      <c r="O796" s="976"/>
      <c r="P796" s="976"/>
      <c r="Q796" s="976"/>
      <c r="R796" s="976"/>
      <c r="S796" s="976"/>
      <c r="T796" s="976"/>
      <c r="U796" s="976"/>
      <c r="V796" s="976"/>
      <c r="W796" s="976"/>
      <c r="X796" s="976"/>
      <c r="Y796" s="976"/>
      <c r="Z796" s="976"/>
    </row>
    <row r="797" spans="1:26" ht="15" x14ac:dyDescent="0.25">
      <c r="A797" s="976"/>
      <c r="B797" s="976"/>
      <c r="C797" s="976"/>
      <c r="D797" s="976"/>
      <c r="E797" s="976"/>
      <c r="F797" s="976"/>
      <c r="G797" s="976"/>
      <c r="H797" s="976"/>
      <c r="I797" s="976"/>
      <c r="J797" s="976"/>
      <c r="K797" s="976"/>
      <c r="L797" s="976"/>
      <c r="M797" s="976"/>
      <c r="N797" s="976"/>
      <c r="O797" s="976"/>
      <c r="P797" s="976"/>
      <c r="Q797" s="976"/>
      <c r="R797" s="976"/>
      <c r="S797" s="976"/>
      <c r="T797" s="976"/>
      <c r="U797" s="976"/>
      <c r="V797" s="976"/>
      <c r="W797" s="976"/>
      <c r="X797" s="976"/>
      <c r="Y797" s="976"/>
      <c r="Z797" s="976"/>
    </row>
    <row r="798" spans="1:26" ht="15" x14ac:dyDescent="0.25">
      <c r="A798" s="976"/>
      <c r="B798" s="976"/>
      <c r="C798" s="976"/>
      <c r="D798" s="976"/>
      <c r="E798" s="976"/>
      <c r="F798" s="976"/>
      <c r="G798" s="976"/>
      <c r="H798" s="976"/>
      <c r="I798" s="976"/>
      <c r="J798" s="976"/>
      <c r="K798" s="976"/>
      <c r="L798" s="976"/>
      <c r="M798" s="976"/>
      <c r="N798" s="976"/>
      <c r="O798" s="976"/>
      <c r="P798" s="976"/>
      <c r="Q798" s="976"/>
      <c r="R798" s="976"/>
      <c r="S798" s="976"/>
      <c r="T798" s="976"/>
      <c r="U798" s="976"/>
      <c r="V798" s="976"/>
      <c r="W798" s="976"/>
      <c r="X798" s="976"/>
      <c r="Y798" s="976"/>
      <c r="Z798" s="976"/>
    </row>
    <row r="799" spans="1:26" ht="15" x14ac:dyDescent="0.25">
      <c r="A799" s="976"/>
      <c r="B799" s="976"/>
      <c r="C799" s="976"/>
      <c r="D799" s="976"/>
      <c r="E799" s="976"/>
      <c r="F799" s="976"/>
      <c r="G799" s="976"/>
      <c r="H799" s="976"/>
      <c r="I799" s="976"/>
      <c r="J799" s="976"/>
      <c r="K799" s="976"/>
      <c r="L799" s="976"/>
      <c r="M799" s="976"/>
      <c r="N799" s="976"/>
      <c r="O799" s="976"/>
      <c r="P799" s="976"/>
      <c r="Q799" s="976"/>
      <c r="R799" s="976"/>
      <c r="S799" s="976"/>
      <c r="T799" s="976"/>
      <c r="U799" s="976"/>
      <c r="V799" s="976"/>
      <c r="W799" s="976"/>
      <c r="X799" s="976"/>
      <c r="Y799" s="976"/>
      <c r="Z799" s="976"/>
    </row>
    <row r="800" spans="1:26" ht="15" x14ac:dyDescent="0.25">
      <c r="A800" s="976"/>
      <c r="B800" s="976"/>
      <c r="C800" s="976"/>
      <c r="D800" s="976"/>
      <c r="E800" s="976"/>
      <c r="F800" s="976"/>
      <c r="G800" s="976"/>
      <c r="H800" s="976"/>
      <c r="I800" s="976"/>
      <c r="J800" s="976"/>
      <c r="K800" s="976"/>
      <c r="L800" s="976"/>
      <c r="M800" s="976"/>
      <c r="N800" s="976"/>
      <c r="O800" s="976"/>
      <c r="P800" s="976"/>
      <c r="Q800" s="976"/>
      <c r="R800" s="976"/>
      <c r="S800" s="976"/>
      <c r="T800" s="976"/>
      <c r="U800" s="976"/>
      <c r="V800" s="976"/>
      <c r="W800" s="976"/>
      <c r="X800" s="976"/>
      <c r="Y800" s="976"/>
      <c r="Z800" s="976"/>
    </row>
    <row r="801" spans="1:26" ht="15" x14ac:dyDescent="0.25">
      <c r="A801" s="976"/>
      <c r="B801" s="976"/>
      <c r="C801" s="976"/>
      <c r="D801" s="976"/>
      <c r="E801" s="976"/>
      <c r="F801" s="976"/>
      <c r="G801" s="976"/>
      <c r="H801" s="976"/>
      <c r="I801" s="976"/>
      <c r="J801" s="976"/>
      <c r="K801" s="976"/>
      <c r="L801" s="976"/>
      <c r="M801" s="976"/>
      <c r="N801" s="976"/>
      <c r="O801" s="976"/>
      <c r="P801" s="976"/>
      <c r="Q801" s="976"/>
      <c r="R801" s="976"/>
      <c r="S801" s="976"/>
      <c r="T801" s="976"/>
      <c r="U801" s="976"/>
      <c r="V801" s="976"/>
      <c r="W801" s="976"/>
      <c r="X801" s="976"/>
      <c r="Y801" s="976"/>
      <c r="Z801" s="976"/>
    </row>
    <row r="802" spans="1:26" ht="15" x14ac:dyDescent="0.25">
      <c r="A802" s="976"/>
      <c r="B802" s="976"/>
      <c r="C802" s="976"/>
      <c r="D802" s="976"/>
      <c r="E802" s="976"/>
      <c r="F802" s="976"/>
      <c r="G802" s="976"/>
      <c r="H802" s="976"/>
      <c r="I802" s="976"/>
      <c r="J802" s="976"/>
      <c r="K802" s="976"/>
      <c r="L802" s="976"/>
      <c r="M802" s="976"/>
      <c r="N802" s="976"/>
      <c r="O802" s="976"/>
      <c r="P802" s="976"/>
      <c r="Q802" s="976"/>
      <c r="R802" s="976"/>
      <c r="S802" s="976"/>
      <c r="T802" s="976"/>
      <c r="U802" s="976"/>
      <c r="V802" s="976"/>
      <c r="W802" s="976"/>
      <c r="X802" s="976"/>
      <c r="Y802" s="976"/>
      <c r="Z802" s="976"/>
    </row>
    <row r="803" spans="1:26" ht="15" x14ac:dyDescent="0.25">
      <c r="A803" s="976"/>
      <c r="B803" s="976"/>
      <c r="C803" s="976"/>
      <c r="D803" s="976"/>
      <c r="E803" s="976"/>
      <c r="F803" s="976"/>
      <c r="G803" s="976"/>
      <c r="H803" s="976"/>
      <c r="I803" s="976"/>
      <c r="J803" s="976"/>
      <c r="K803" s="976"/>
      <c r="L803" s="976"/>
      <c r="M803" s="976"/>
      <c r="N803" s="976"/>
      <c r="O803" s="976"/>
      <c r="P803" s="976"/>
      <c r="Q803" s="976"/>
      <c r="R803" s="976"/>
      <c r="S803" s="976"/>
      <c r="T803" s="976"/>
      <c r="U803" s="976"/>
      <c r="V803" s="976"/>
      <c r="W803" s="976"/>
      <c r="X803" s="976"/>
      <c r="Y803" s="976"/>
      <c r="Z803" s="976"/>
    </row>
    <row r="804" spans="1:26" ht="15" x14ac:dyDescent="0.25">
      <c r="A804" s="976"/>
      <c r="B804" s="976"/>
      <c r="C804" s="976"/>
      <c r="D804" s="976"/>
      <c r="E804" s="976"/>
      <c r="F804" s="976"/>
      <c r="G804" s="976"/>
      <c r="H804" s="976"/>
      <c r="I804" s="976"/>
      <c r="J804" s="976"/>
      <c r="K804" s="976"/>
      <c r="L804" s="976"/>
      <c r="M804" s="976"/>
      <c r="N804" s="976"/>
      <c r="O804" s="976"/>
      <c r="P804" s="976"/>
      <c r="Q804" s="976"/>
      <c r="R804" s="976"/>
      <c r="S804" s="976"/>
      <c r="T804" s="976"/>
      <c r="U804" s="976"/>
      <c r="V804" s="976"/>
      <c r="W804" s="976"/>
      <c r="X804" s="976"/>
      <c r="Y804" s="976"/>
      <c r="Z804" s="976"/>
    </row>
    <row r="805" spans="1:26" ht="15" x14ac:dyDescent="0.25">
      <c r="A805" s="976"/>
      <c r="B805" s="976"/>
      <c r="C805" s="976"/>
      <c r="D805" s="976"/>
      <c r="E805" s="976"/>
      <c r="F805" s="976"/>
      <c r="G805" s="976"/>
      <c r="H805" s="976"/>
      <c r="I805" s="976"/>
      <c r="J805" s="976"/>
      <c r="K805" s="976"/>
      <c r="L805" s="976"/>
      <c r="M805" s="976"/>
      <c r="N805" s="976"/>
      <c r="O805" s="976"/>
      <c r="P805" s="976"/>
      <c r="Q805" s="976"/>
      <c r="R805" s="976"/>
      <c r="S805" s="976"/>
      <c r="T805" s="976"/>
      <c r="U805" s="976"/>
      <c r="V805" s="976"/>
      <c r="W805" s="976"/>
      <c r="X805" s="976"/>
      <c r="Y805" s="976"/>
      <c r="Z805" s="976"/>
    </row>
    <row r="806" spans="1:26" ht="15" x14ac:dyDescent="0.25">
      <c r="A806" s="976"/>
      <c r="B806" s="976"/>
      <c r="C806" s="976"/>
      <c r="D806" s="976"/>
      <c r="E806" s="976"/>
      <c r="F806" s="976"/>
      <c r="G806" s="976"/>
      <c r="H806" s="976"/>
      <c r="I806" s="976"/>
      <c r="J806" s="976"/>
      <c r="K806" s="976"/>
      <c r="L806" s="976"/>
      <c r="M806" s="976"/>
      <c r="N806" s="976"/>
      <c r="O806" s="976"/>
      <c r="P806" s="976"/>
      <c r="Q806" s="976"/>
      <c r="R806" s="976"/>
      <c r="S806" s="976"/>
      <c r="T806" s="976"/>
      <c r="U806" s="976"/>
      <c r="V806" s="976"/>
      <c r="W806" s="976"/>
      <c r="X806" s="976"/>
      <c r="Y806" s="976"/>
      <c r="Z806" s="976"/>
    </row>
    <row r="807" spans="1:26" ht="15" x14ac:dyDescent="0.25">
      <c r="A807" s="976"/>
      <c r="B807" s="976"/>
      <c r="C807" s="976"/>
      <c r="D807" s="976"/>
      <c r="E807" s="976"/>
      <c r="F807" s="976"/>
      <c r="G807" s="976"/>
      <c r="H807" s="976"/>
      <c r="I807" s="976"/>
      <c r="J807" s="976"/>
      <c r="K807" s="976"/>
      <c r="L807" s="976"/>
      <c r="M807" s="976"/>
      <c r="N807" s="976"/>
      <c r="O807" s="976"/>
      <c r="P807" s="976"/>
      <c r="Q807" s="976"/>
      <c r="R807" s="976"/>
      <c r="S807" s="976"/>
      <c r="T807" s="976"/>
      <c r="U807" s="976"/>
      <c r="V807" s="976"/>
      <c r="W807" s="976"/>
      <c r="X807" s="976"/>
      <c r="Y807" s="976"/>
      <c r="Z807" s="976"/>
    </row>
    <row r="808" spans="1:26" ht="15" x14ac:dyDescent="0.25">
      <c r="A808" s="976"/>
      <c r="B808" s="976"/>
      <c r="C808" s="976"/>
      <c r="D808" s="976"/>
      <c r="E808" s="976"/>
      <c r="F808" s="976"/>
      <c r="G808" s="976"/>
      <c r="H808" s="976"/>
      <c r="I808" s="976"/>
      <c r="J808" s="976"/>
      <c r="K808" s="976"/>
      <c r="L808" s="976"/>
      <c r="M808" s="976"/>
      <c r="N808" s="976"/>
      <c r="O808" s="976"/>
      <c r="P808" s="976"/>
      <c r="Q808" s="976"/>
      <c r="R808" s="976"/>
      <c r="S808" s="976"/>
      <c r="T808" s="976"/>
      <c r="U808" s="976"/>
      <c r="V808" s="976"/>
      <c r="W808" s="976"/>
      <c r="X808" s="976"/>
      <c r="Y808" s="976"/>
      <c r="Z808" s="976"/>
    </row>
    <row r="809" spans="1:26" ht="15" x14ac:dyDescent="0.25">
      <c r="A809" s="976"/>
      <c r="B809" s="976"/>
      <c r="C809" s="976"/>
      <c r="D809" s="976"/>
      <c r="E809" s="976"/>
      <c r="F809" s="976"/>
      <c r="G809" s="976"/>
      <c r="H809" s="976"/>
      <c r="I809" s="976"/>
      <c r="J809" s="976"/>
      <c r="K809" s="976"/>
      <c r="L809" s="976"/>
      <c r="M809" s="976"/>
      <c r="N809" s="976"/>
      <c r="O809" s="976"/>
      <c r="P809" s="976"/>
      <c r="Q809" s="976"/>
      <c r="R809" s="976"/>
      <c r="S809" s="976"/>
      <c r="T809" s="976"/>
      <c r="U809" s="976"/>
      <c r="V809" s="976"/>
      <c r="W809" s="976"/>
      <c r="X809" s="976"/>
      <c r="Y809" s="976"/>
      <c r="Z809" s="976"/>
    </row>
    <row r="810" spans="1:26" ht="15" x14ac:dyDescent="0.25">
      <c r="A810" s="976"/>
      <c r="B810" s="976"/>
      <c r="C810" s="976"/>
      <c r="D810" s="976"/>
      <c r="E810" s="976"/>
      <c r="F810" s="976"/>
      <c r="G810" s="976"/>
      <c r="H810" s="976"/>
      <c r="I810" s="976"/>
      <c r="J810" s="976"/>
      <c r="K810" s="976"/>
      <c r="L810" s="976"/>
      <c r="M810" s="976"/>
      <c r="N810" s="976"/>
      <c r="O810" s="976"/>
      <c r="P810" s="976"/>
      <c r="Q810" s="976"/>
      <c r="R810" s="976"/>
      <c r="S810" s="976"/>
      <c r="T810" s="976"/>
      <c r="U810" s="976"/>
      <c r="V810" s="976"/>
      <c r="W810" s="976"/>
      <c r="X810" s="976"/>
      <c r="Y810" s="976"/>
      <c r="Z810" s="976"/>
    </row>
    <row r="811" spans="1:26" ht="15" x14ac:dyDescent="0.25">
      <c r="A811" s="976"/>
      <c r="B811" s="976"/>
      <c r="C811" s="976"/>
      <c r="D811" s="976"/>
      <c r="E811" s="976"/>
      <c r="F811" s="976"/>
      <c r="G811" s="976"/>
      <c r="H811" s="976"/>
      <c r="I811" s="976"/>
      <c r="J811" s="976"/>
      <c r="K811" s="976"/>
      <c r="L811" s="976"/>
      <c r="M811" s="976"/>
      <c r="N811" s="976"/>
      <c r="O811" s="976"/>
      <c r="P811" s="976"/>
      <c r="Q811" s="976"/>
      <c r="R811" s="976"/>
      <c r="S811" s="976"/>
      <c r="T811" s="976"/>
      <c r="U811" s="976"/>
      <c r="V811" s="976"/>
      <c r="W811" s="976"/>
      <c r="X811" s="976"/>
      <c r="Y811" s="976"/>
      <c r="Z811" s="976"/>
    </row>
    <row r="812" spans="1:26" ht="15" x14ac:dyDescent="0.25">
      <c r="A812" s="976"/>
      <c r="B812" s="976"/>
      <c r="C812" s="976"/>
      <c r="D812" s="976"/>
      <c r="E812" s="976"/>
      <c r="F812" s="976"/>
      <c r="G812" s="976"/>
      <c r="H812" s="976"/>
      <c r="I812" s="976"/>
      <c r="J812" s="976"/>
      <c r="K812" s="976"/>
      <c r="L812" s="976"/>
      <c r="M812" s="976"/>
      <c r="N812" s="976"/>
      <c r="O812" s="976"/>
      <c r="P812" s="976"/>
      <c r="Q812" s="976"/>
      <c r="R812" s="976"/>
      <c r="S812" s="976"/>
      <c r="T812" s="976"/>
      <c r="U812" s="976"/>
      <c r="V812" s="976"/>
      <c r="W812" s="976"/>
      <c r="X812" s="976"/>
      <c r="Y812" s="976"/>
      <c r="Z812" s="976"/>
    </row>
    <row r="813" spans="1:26" ht="15" x14ac:dyDescent="0.25">
      <c r="A813" s="976"/>
      <c r="B813" s="976"/>
      <c r="C813" s="976"/>
      <c r="D813" s="976"/>
      <c r="E813" s="976"/>
      <c r="F813" s="976"/>
      <c r="G813" s="976"/>
      <c r="H813" s="976"/>
      <c r="I813" s="976"/>
      <c r="J813" s="976"/>
      <c r="K813" s="976"/>
      <c r="L813" s="976"/>
      <c r="M813" s="976"/>
      <c r="N813" s="976"/>
      <c r="O813" s="976"/>
      <c r="P813" s="976"/>
      <c r="Q813" s="976"/>
      <c r="R813" s="976"/>
      <c r="S813" s="976"/>
      <c r="T813" s="976"/>
      <c r="U813" s="976"/>
      <c r="V813" s="976"/>
      <c r="W813" s="976"/>
      <c r="X813" s="976"/>
      <c r="Y813" s="976"/>
      <c r="Z813" s="976"/>
    </row>
    <row r="814" spans="1:26" ht="15" x14ac:dyDescent="0.25">
      <c r="A814" s="976"/>
      <c r="B814" s="976"/>
      <c r="C814" s="976"/>
      <c r="D814" s="976"/>
      <c r="E814" s="976"/>
      <c r="F814" s="976"/>
      <c r="G814" s="976"/>
      <c r="H814" s="976"/>
      <c r="I814" s="976"/>
      <c r="J814" s="976"/>
      <c r="K814" s="976"/>
      <c r="L814" s="976"/>
      <c r="M814" s="976"/>
      <c r="N814" s="976"/>
      <c r="O814" s="976"/>
      <c r="P814" s="976"/>
      <c r="Q814" s="976"/>
      <c r="R814" s="976"/>
      <c r="S814" s="976"/>
      <c r="T814" s="976"/>
      <c r="U814" s="976"/>
      <c r="V814" s="976"/>
      <c r="W814" s="976"/>
      <c r="X814" s="976"/>
      <c r="Y814" s="976"/>
      <c r="Z814" s="976"/>
    </row>
    <row r="815" spans="1:26" ht="15" x14ac:dyDescent="0.25">
      <c r="A815" s="976"/>
      <c r="B815" s="976"/>
      <c r="C815" s="976"/>
      <c r="D815" s="976"/>
      <c r="E815" s="976"/>
      <c r="F815" s="976"/>
      <c r="G815" s="976"/>
      <c r="H815" s="976"/>
      <c r="I815" s="976"/>
      <c r="J815" s="976"/>
      <c r="K815" s="976"/>
      <c r="L815" s="976"/>
      <c r="M815" s="976"/>
      <c r="N815" s="976"/>
      <c r="O815" s="976"/>
      <c r="P815" s="976"/>
      <c r="Q815" s="976"/>
      <c r="R815" s="976"/>
      <c r="S815" s="976"/>
      <c r="T815" s="976"/>
      <c r="U815" s="976"/>
      <c r="V815" s="976"/>
      <c r="W815" s="976"/>
      <c r="X815" s="976"/>
      <c r="Y815" s="976"/>
      <c r="Z815" s="976"/>
    </row>
    <row r="816" spans="1:26" ht="15" x14ac:dyDescent="0.25">
      <c r="A816" s="976"/>
      <c r="B816" s="976"/>
      <c r="C816" s="976"/>
      <c r="D816" s="976"/>
      <c r="E816" s="976"/>
      <c r="F816" s="976"/>
      <c r="G816" s="976"/>
      <c r="H816" s="976"/>
      <c r="I816" s="976"/>
      <c r="J816" s="976"/>
      <c r="K816" s="976"/>
      <c r="L816" s="976"/>
      <c r="M816" s="976"/>
      <c r="N816" s="976"/>
      <c r="O816" s="976"/>
      <c r="P816" s="976"/>
      <c r="Q816" s="976"/>
      <c r="R816" s="976"/>
      <c r="S816" s="976"/>
      <c r="T816" s="976"/>
      <c r="U816" s="976"/>
      <c r="V816" s="976"/>
      <c r="W816" s="976"/>
      <c r="X816" s="976"/>
      <c r="Y816" s="976"/>
      <c r="Z816" s="976"/>
    </row>
    <row r="817" spans="1:26" ht="15" x14ac:dyDescent="0.25">
      <c r="A817" s="976"/>
      <c r="B817" s="976"/>
      <c r="C817" s="976"/>
      <c r="D817" s="976"/>
      <c r="E817" s="976"/>
      <c r="F817" s="976"/>
      <c r="G817" s="976"/>
      <c r="H817" s="976"/>
      <c r="I817" s="976"/>
      <c r="J817" s="976"/>
      <c r="K817" s="976"/>
      <c r="L817" s="976"/>
      <c r="M817" s="976"/>
      <c r="N817" s="976"/>
      <c r="O817" s="976"/>
      <c r="P817" s="976"/>
      <c r="Q817" s="976"/>
      <c r="R817" s="976"/>
      <c r="S817" s="976"/>
      <c r="T817" s="976"/>
      <c r="U817" s="976"/>
      <c r="V817" s="976"/>
      <c r="W817" s="976"/>
      <c r="X817" s="976"/>
      <c r="Y817" s="976"/>
      <c r="Z817" s="976"/>
    </row>
    <row r="818" spans="1:26" ht="15" x14ac:dyDescent="0.25">
      <c r="A818" s="976"/>
      <c r="B818" s="976"/>
      <c r="C818" s="976"/>
      <c r="D818" s="976"/>
      <c r="E818" s="976"/>
      <c r="F818" s="976"/>
      <c r="G818" s="976"/>
      <c r="H818" s="976"/>
      <c r="I818" s="976"/>
      <c r="J818" s="976"/>
      <c r="K818" s="976"/>
      <c r="L818" s="976"/>
      <c r="M818" s="976"/>
      <c r="N818" s="976"/>
      <c r="O818" s="976"/>
      <c r="P818" s="976"/>
      <c r="Q818" s="976"/>
      <c r="R818" s="976"/>
      <c r="S818" s="976"/>
      <c r="T818" s="976"/>
      <c r="U818" s="976"/>
      <c r="V818" s="976"/>
      <c r="W818" s="976"/>
      <c r="X818" s="976"/>
      <c r="Y818" s="976"/>
      <c r="Z818" s="976"/>
    </row>
    <row r="819" spans="1:26" ht="15" x14ac:dyDescent="0.25">
      <c r="A819" s="976"/>
      <c r="B819" s="976"/>
      <c r="C819" s="976"/>
      <c r="D819" s="976"/>
      <c r="E819" s="976"/>
      <c r="F819" s="976"/>
      <c r="G819" s="976"/>
      <c r="H819" s="976"/>
      <c r="I819" s="976"/>
      <c r="J819" s="976"/>
      <c r="K819" s="976"/>
      <c r="L819" s="976"/>
      <c r="M819" s="976"/>
      <c r="N819" s="976"/>
      <c r="O819" s="976"/>
      <c r="P819" s="976"/>
      <c r="Q819" s="976"/>
      <c r="R819" s="976"/>
      <c r="S819" s="976"/>
      <c r="T819" s="976"/>
      <c r="U819" s="976"/>
      <c r="V819" s="976"/>
      <c r="W819" s="976"/>
      <c r="X819" s="976"/>
      <c r="Y819" s="976"/>
      <c r="Z819" s="976"/>
    </row>
    <row r="820" spans="1:26" ht="15" x14ac:dyDescent="0.25">
      <c r="A820" s="976"/>
      <c r="B820" s="976"/>
      <c r="C820" s="976"/>
      <c r="D820" s="976"/>
      <c r="E820" s="976"/>
      <c r="F820" s="976"/>
      <c r="G820" s="976"/>
      <c r="H820" s="976"/>
      <c r="I820" s="976"/>
      <c r="J820" s="976"/>
      <c r="K820" s="976"/>
      <c r="L820" s="976"/>
      <c r="M820" s="976"/>
      <c r="N820" s="976"/>
      <c r="O820" s="976"/>
      <c r="P820" s="976"/>
      <c r="Q820" s="976"/>
      <c r="R820" s="976"/>
      <c r="S820" s="976"/>
      <c r="T820" s="976"/>
      <c r="U820" s="976"/>
      <c r="V820" s="976"/>
      <c r="W820" s="976"/>
      <c r="X820" s="976"/>
      <c r="Y820" s="976"/>
      <c r="Z820" s="976"/>
    </row>
    <row r="821" spans="1:26" ht="15" x14ac:dyDescent="0.25">
      <c r="A821" s="976"/>
      <c r="B821" s="976"/>
      <c r="C821" s="976"/>
      <c r="D821" s="976"/>
      <c r="E821" s="976"/>
      <c r="F821" s="976"/>
      <c r="G821" s="976"/>
      <c r="H821" s="976"/>
      <c r="I821" s="976"/>
      <c r="J821" s="976"/>
      <c r="K821" s="976"/>
      <c r="L821" s="976"/>
      <c r="M821" s="976"/>
      <c r="N821" s="976"/>
      <c r="O821" s="976"/>
      <c r="P821" s="976"/>
      <c r="Q821" s="976"/>
      <c r="R821" s="976"/>
      <c r="S821" s="976"/>
      <c r="T821" s="976"/>
      <c r="U821" s="976"/>
      <c r="V821" s="976"/>
      <c r="W821" s="976"/>
      <c r="X821" s="976"/>
      <c r="Y821" s="976"/>
      <c r="Z821" s="976"/>
    </row>
    <row r="822" spans="1:26" ht="15" x14ac:dyDescent="0.25">
      <c r="A822" s="976"/>
      <c r="B822" s="976"/>
      <c r="C822" s="976"/>
      <c r="D822" s="976"/>
      <c r="E822" s="976"/>
      <c r="F822" s="976"/>
      <c r="G822" s="976"/>
      <c r="H822" s="976"/>
      <c r="I822" s="976"/>
      <c r="J822" s="976"/>
      <c r="K822" s="976"/>
      <c r="L822" s="976"/>
      <c r="M822" s="976"/>
      <c r="N822" s="976"/>
      <c r="O822" s="976"/>
      <c r="P822" s="976"/>
      <c r="Q822" s="976"/>
      <c r="R822" s="976"/>
      <c r="S822" s="976"/>
      <c r="T822" s="976"/>
      <c r="U822" s="976"/>
      <c r="V822" s="976"/>
      <c r="W822" s="976"/>
      <c r="X822" s="976"/>
      <c r="Y822" s="976"/>
      <c r="Z822" s="976"/>
    </row>
    <row r="823" spans="1:26" ht="15" x14ac:dyDescent="0.25">
      <c r="A823" s="976"/>
      <c r="B823" s="976"/>
      <c r="C823" s="976"/>
      <c r="D823" s="976"/>
      <c r="E823" s="976"/>
      <c r="F823" s="976"/>
      <c r="G823" s="976"/>
      <c r="H823" s="976"/>
      <c r="I823" s="976"/>
      <c r="J823" s="976"/>
      <c r="K823" s="976"/>
      <c r="L823" s="976"/>
      <c r="M823" s="976"/>
      <c r="N823" s="976"/>
      <c r="O823" s="976"/>
      <c r="P823" s="976"/>
      <c r="Q823" s="976"/>
      <c r="R823" s="976"/>
      <c r="S823" s="976"/>
      <c r="T823" s="976"/>
      <c r="U823" s="976"/>
      <c r="V823" s="976"/>
      <c r="W823" s="976"/>
      <c r="X823" s="976"/>
      <c r="Y823" s="976"/>
      <c r="Z823" s="976"/>
    </row>
    <row r="824" spans="1:26" ht="15" x14ac:dyDescent="0.25">
      <c r="A824" s="976"/>
      <c r="B824" s="976"/>
      <c r="C824" s="976"/>
      <c r="D824" s="976"/>
      <c r="E824" s="976"/>
      <c r="F824" s="976"/>
      <c r="G824" s="976"/>
      <c r="H824" s="976"/>
      <c r="I824" s="976"/>
      <c r="J824" s="976"/>
      <c r="K824" s="976"/>
      <c r="L824" s="976"/>
      <c r="M824" s="976"/>
      <c r="N824" s="976"/>
      <c r="O824" s="976"/>
      <c r="P824" s="976"/>
      <c r="Q824" s="976"/>
      <c r="R824" s="976"/>
      <c r="S824" s="976"/>
      <c r="T824" s="976"/>
      <c r="U824" s="976"/>
      <c r="V824" s="976"/>
      <c r="W824" s="976"/>
      <c r="X824" s="976"/>
      <c r="Y824" s="976"/>
      <c r="Z824" s="976"/>
    </row>
    <row r="825" spans="1:26" ht="15" x14ac:dyDescent="0.25">
      <c r="A825" s="976"/>
      <c r="B825" s="976"/>
      <c r="C825" s="976"/>
      <c r="D825" s="976"/>
      <c r="E825" s="976"/>
      <c r="F825" s="976"/>
      <c r="G825" s="976"/>
      <c r="H825" s="976"/>
      <c r="I825" s="976"/>
      <c r="J825" s="976"/>
      <c r="K825" s="976"/>
      <c r="L825" s="976"/>
      <c r="M825" s="976"/>
      <c r="N825" s="976"/>
      <c r="O825" s="976"/>
      <c r="P825" s="976"/>
      <c r="Q825" s="976"/>
      <c r="R825" s="976"/>
      <c r="S825" s="976"/>
      <c r="T825" s="976"/>
      <c r="U825" s="976"/>
      <c r="V825" s="976"/>
      <c r="W825" s="976"/>
      <c r="X825" s="976"/>
      <c r="Y825" s="976"/>
      <c r="Z825" s="976"/>
    </row>
    <row r="826" spans="1:26" ht="15" x14ac:dyDescent="0.25">
      <c r="A826" s="976"/>
      <c r="B826" s="976"/>
      <c r="C826" s="976"/>
      <c r="D826" s="976"/>
      <c r="E826" s="976"/>
      <c r="F826" s="976"/>
      <c r="G826" s="976"/>
      <c r="H826" s="976"/>
      <c r="I826" s="976"/>
      <c r="J826" s="976"/>
      <c r="K826" s="976"/>
      <c r="L826" s="976"/>
      <c r="M826" s="976"/>
      <c r="N826" s="976"/>
      <c r="O826" s="976"/>
      <c r="P826" s="976"/>
      <c r="Q826" s="976"/>
      <c r="R826" s="976"/>
      <c r="S826" s="976"/>
      <c r="T826" s="976"/>
      <c r="U826" s="976"/>
      <c r="V826" s="976"/>
      <c r="W826" s="976"/>
      <c r="X826" s="976"/>
      <c r="Y826" s="976"/>
      <c r="Z826" s="976"/>
    </row>
    <row r="827" spans="1:26" ht="15" x14ac:dyDescent="0.25">
      <c r="A827" s="976"/>
      <c r="B827" s="976"/>
      <c r="C827" s="976"/>
      <c r="D827" s="976"/>
      <c r="E827" s="976"/>
      <c r="F827" s="976"/>
      <c r="G827" s="976"/>
      <c r="H827" s="976"/>
      <c r="I827" s="976"/>
      <c r="J827" s="976"/>
      <c r="K827" s="976"/>
      <c r="L827" s="976"/>
      <c r="M827" s="976"/>
      <c r="N827" s="976"/>
      <c r="O827" s="976"/>
      <c r="P827" s="976"/>
      <c r="Q827" s="976"/>
      <c r="R827" s="976"/>
      <c r="S827" s="976"/>
      <c r="T827" s="976"/>
      <c r="U827" s="976"/>
      <c r="V827" s="976"/>
      <c r="W827" s="976"/>
      <c r="X827" s="976"/>
      <c r="Y827" s="976"/>
      <c r="Z827" s="976"/>
    </row>
    <row r="828" spans="1:26" ht="15" x14ac:dyDescent="0.25">
      <c r="A828" s="976"/>
      <c r="B828" s="976"/>
      <c r="C828" s="976"/>
      <c r="D828" s="976"/>
      <c r="E828" s="976"/>
      <c r="F828" s="976"/>
      <c r="G828" s="976"/>
      <c r="H828" s="976"/>
      <c r="I828" s="976"/>
      <c r="J828" s="976"/>
      <c r="K828" s="976"/>
      <c r="L828" s="976"/>
      <c r="M828" s="976"/>
      <c r="N828" s="976"/>
      <c r="O828" s="976"/>
      <c r="P828" s="976"/>
      <c r="Q828" s="976"/>
      <c r="R828" s="976"/>
      <c r="S828" s="976"/>
      <c r="T828" s="976"/>
      <c r="U828" s="976"/>
      <c r="V828" s="976"/>
      <c r="W828" s="976"/>
      <c r="X828" s="976"/>
      <c r="Y828" s="976"/>
      <c r="Z828" s="976"/>
    </row>
    <row r="829" spans="1:26" ht="15" x14ac:dyDescent="0.25">
      <c r="A829" s="976"/>
      <c r="B829" s="976"/>
      <c r="C829" s="976"/>
      <c r="D829" s="976"/>
      <c r="E829" s="976"/>
      <c r="F829" s="976"/>
      <c r="G829" s="976"/>
      <c r="H829" s="976"/>
      <c r="I829" s="976"/>
      <c r="J829" s="976"/>
      <c r="K829" s="976"/>
      <c r="L829" s="976"/>
      <c r="M829" s="976"/>
      <c r="N829" s="976"/>
      <c r="O829" s="976"/>
      <c r="P829" s="976"/>
      <c r="Q829" s="976"/>
      <c r="R829" s="976"/>
      <c r="S829" s="976"/>
      <c r="T829" s="976"/>
      <c r="U829" s="976"/>
      <c r="V829" s="976"/>
      <c r="W829" s="976"/>
      <c r="X829" s="976"/>
      <c r="Y829" s="976"/>
      <c r="Z829" s="976"/>
    </row>
    <row r="830" spans="1:26" ht="15" x14ac:dyDescent="0.25">
      <c r="A830" s="976"/>
      <c r="B830" s="976"/>
      <c r="C830" s="976"/>
      <c r="D830" s="976"/>
      <c r="E830" s="976"/>
      <c r="F830" s="976"/>
      <c r="G830" s="976"/>
      <c r="H830" s="976"/>
      <c r="I830" s="976"/>
      <c r="J830" s="976"/>
      <c r="K830" s="976"/>
      <c r="L830" s="976"/>
      <c r="M830" s="976"/>
      <c r="N830" s="976"/>
      <c r="O830" s="976"/>
      <c r="P830" s="976"/>
      <c r="Q830" s="976"/>
      <c r="R830" s="976"/>
      <c r="S830" s="976"/>
      <c r="T830" s="976"/>
      <c r="U830" s="976"/>
      <c r="V830" s="976"/>
      <c r="W830" s="976"/>
      <c r="X830" s="976"/>
      <c r="Y830" s="976"/>
      <c r="Z830" s="976"/>
    </row>
    <row r="831" spans="1:26" ht="15" x14ac:dyDescent="0.25">
      <c r="A831" s="976"/>
      <c r="B831" s="976"/>
      <c r="C831" s="976"/>
      <c r="D831" s="976"/>
      <c r="E831" s="976"/>
      <c r="F831" s="976"/>
      <c r="G831" s="976"/>
      <c r="H831" s="976"/>
      <c r="I831" s="976"/>
      <c r="J831" s="976"/>
      <c r="K831" s="976"/>
      <c r="L831" s="976"/>
      <c r="M831" s="976"/>
      <c r="N831" s="976"/>
      <c r="O831" s="976"/>
      <c r="P831" s="976"/>
      <c r="Q831" s="976"/>
      <c r="R831" s="976"/>
      <c r="S831" s="976"/>
      <c r="T831" s="976"/>
      <c r="U831" s="976"/>
      <c r="V831" s="976"/>
      <c r="W831" s="976"/>
      <c r="X831" s="976"/>
      <c r="Y831" s="976"/>
      <c r="Z831" s="976"/>
    </row>
    <row r="832" spans="1:26" ht="15" x14ac:dyDescent="0.25">
      <c r="A832" s="976"/>
      <c r="B832" s="976"/>
      <c r="C832" s="976"/>
      <c r="D832" s="976"/>
      <c r="E832" s="976"/>
      <c r="F832" s="976"/>
      <c r="G832" s="976"/>
      <c r="H832" s="976"/>
      <c r="I832" s="976"/>
      <c r="J832" s="976"/>
      <c r="K832" s="976"/>
      <c r="L832" s="976"/>
      <c r="M832" s="976"/>
      <c r="N832" s="976"/>
      <c r="O832" s="976"/>
      <c r="P832" s="976"/>
      <c r="Q832" s="976"/>
      <c r="R832" s="976"/>
      <c r="S832" s="976"/>
      <c r="T832" s="976"/>
      <c r="U832" s="976"/>
      <c r="V832" s="976"/>
      <c r="W832" s="976"/>
      <c r="X832" s="976"/>
      <c r="Y832" s="976"/>
      <c r="Z832" s="976"/>
    </row>
    <row r="833" spans="1:26" ht="15" x14ac:dyDescent="0.25">
      <c r="A833" s="976"/>
      <c r="B833" s="976"/>
      <c r="C833" s="976"/>
      <c r="D833" s="976"/>
      <c r="E833" s="976"/>
      <c r="F833" s="976"/>
      <c r="G833" s="976"/>
      <c r="H833" s="976"/>
      <c r="I833" s="976"/>
      <c r="J833" s="976"/>
      <c r="K833" s="976"/>
      <c r="L833" s="976"/>
      <c r="M833" s="976"/>
      <c r="N833" s="976"/>
      <c r="O833" s="976"/>
      <c r="P833" s="976"/>
      <c r="Q833" s="976"/>
      <c r="R833" s="976"/>
      <c r="S833" s="976"/>
      <c r="T833" s="976"/>
      <c r="U833" s="976"/>
      <c r="V833" s="976"/>
      <c r="W833" s="976"/>
      <c r="X833" s="976"/>
      <c r="Y833" s="976"/>
      <c r="Z833" s="976"/>
    </row>
    <row r="834" spans="1:26" ht="15" x14ac:dyDescent="0.25">
      <c r="A834" s="976"/>
      <c r="B834" s="976"/>
      <c r="C834" s="976"/>
      <c r="D834" s="976"/>
      <c r="E834" s="976"/>
      <c r="F834" s="976"/>
      <c r="G834" s="976"/>
      <c r="H834" s="976"/>
      <c r="I834" s="976"/>
      <c r="J834" s="976"/>
      <c r="K834" s="976"/>
      <c r="L834" s="976"/>
      <c r="M834" s="976"/>
      <c r="N834" s="976"/>
      <c r="O834" s="976"/>
      <c r="P834" s="976"/>
      <c r="Q834" s="976"/>
      <c r="R834" s="976"/>
      <c r="S834" s="976"/>
      <c r="T834" s="976"/>
      <c r="U834" s="976"/>
      <c r="V834" s="976"/>
      <c r="W834" s="976"/>
      <c r="X834" s="976"/>
      <c r="Y834" s="976"/>
      <c r="Z834" s="976"/>
    </row>
    <row r="835" spans="1:26" ht="15" x14ac:dyDescent="0.25">
      <c r="A835" s="976"/>
      <c r="B835" s="976"/>
      <c r="C835" s="976"/>
      <c r="D835" s="976"/>
      <c r="E835" s="976"/>
      <c r="F835" s="976"/>
      <c r="G835" s="976"/>
      <c r="H835" s="976"/>
      <c r="I835" s="976"/>
      <c r="J835" s="976"/>
      <c r="K835" s="976"/>
      <c r="L835" s="976"/>
      <c r="M835" s="976"/>
      <c r="N835" s="976"/>
      <c r="O835" s="976"/>
      <c r="P835" s="976"/>
      <c r="Q835" s="976"/>
      <c r="R835" s="976"/>
      <c r="S835" s="976"/>
      <c r="T835" s="976"/>
      <c r="U835" s="976"/>
      <c r="V835" s="976"/>
      <c r="W835" s="976"/>
      <c r="X835" s="976"/>
      <c r="Y835" s="976"/>
      <c r="Z835" s="976"/>
    </row>
    <row r="836" spans="1:26" ht="15" x14ac:dyDescent="0.25">
      <c r="A836" s="976"/>
      <c r="B836" s="976"/>
      <c r="C836" s="976"/>
      <c r="D836" s="976"/>
      <c r="E836" s="976"/>
      <c r="F836" s="976"/>
      <c r="G836" s="976"/>
      <c r="H836" s="976"/>
      <c r="I836" s="976"/>
      <c r="J836" s="976"/>
      <c r="K836" s="976"/>
      <c r="L836" s="976"/>
      <c r="M836" s="976"/>
      <c r="N836" s="976"/>
      <c r="O836" s="976"/>
      <c r="P836" s="976"/>
      <c r="Q836" s="976"/>
      <c r="R836" s="976"/>
      <c r="S836" s="976"/>
      <c r="T836" s="976"/>
      <c r="U836" s="976"/>
      <c r="V836" s="976"/>
      <c r="W836" s="976"/>
      <c r="X836" s="976"/>
      <c r="Y836" s="976"/>
      <c r="Z836" s="976"/>
    </row>
    <row r="837" spans="1:26" ht="15" x14ac:dyDescent="0.25">
      <c r="A837" s="976"/>
      <c r="B837" s="976"/>
      <c r="C837" s="976"/>
      <c r="D837" s="976"/>
      <c r="E837" s="976"/>
      <c r="F837" s="976"/>
      <c r="G837" s="976"/>
      <c r="H837" s="976"/>
      <c r="I837" s="976"/>
      <c r="J837" s="976"/>
      <c r="K837" s="976"/>
      <c r="L837" s="976"/>
      <c r="M837" s="976"/>
      <c r="N837" s="976"/>
      <c r="O837" s="976"/>
      <c r="P837" s="976"/>
      <c r="Q837" s="976"/>
      <c r="R837" s="976"/>
      <c r="S837" s="976"/>
      <c r="T837" s="976"/>
      <c r="U837" s="976"/>
      <c r="V837" s="976"/>
      <c r="W837" s="976"/>
      <c r="X837" s="976"/>
      <c r="Y837" s="976"/>
      <c r="Z837" s="976"/>
    </row>
    <row r="838" spans="1:26" ht="15" x14ac:dyDescent="0.25">
      <c r="A838" s="976"/>
      <c r="B838" s="976"/>
      <c r="C838" s="976"/>
      <c r="D838" s="976"/>
      <c r="E838" s="976"/>
      <c r="F838" s="976"/>
      <c r="G838" s="976"/>
      <c r="H838" s="976"/>
      <c r="I838" s="976"/>
      <c r="J838" s="976"/>
      <c r="K838" s="976"/>
      <c r="L838" s="976"/>
      <c r="M838" s="976"/>
      <c r="N838" s="976"/>
      <c r="O838" s="976"/>
      <c r="P838" s="976"/>
      <c r="Q838" s="976"/>
      <c r="R838" s="976"/>
      <c r="S838" s="976"/>
      <c r="T838" s="976"/>
      <c r="U838" s="976"/>
      <c r="V838" s="976"/>
      <c r="W838" s="976"/>
      <c r="X838" s="976"/>
      <c r="Y838" s="976"/>
      <c r="Z838" s="976"/>
    </row>
    <row r="839" spans="1:26" ht="15" x14ac:dyDescent="0.25">
      <c r="A839" s="976"/>
      <c r="B839" s="976"/>
      <c r="C839" s="976"/>
      <c r="D839" s="976"/>
      <c r="E839" s="976"/>
      <c r="F839" s="976"/>
      <c r="G839" s="976"/>
      <c r="H839" s="976"/>
      <c r="I839" s="976"/>
      <c r="J839" s="976"/>
      <c r="K839" s="976"/>
      <c r="L839" s="976"/>
      <c r="M839" s="976"/>
      <c r="N839" s="976"/>
      <c r="O839" s="976"/>
      <c r="P839" s="976"/>
      <c r="Q839" s="976"/>
      <c r="R839" s="976"/>
      <c r="S839" s="976"/>
      <c r="T839" s="976"/>
      <c r="U839" s="976"/>
      <c r="V839" s="976"/>
      <c r="W839" s="976"/>
      <c r="X839" s="976"/>
      <c r="Y839" s="976"/>
      <c r="Z839" s="976"/>
    </row>
    <row r="840" spans="1:26" ht="15" x14ac:dyDescent="0.25">
      <c r="A840" s="976"/>
      <c r="B840" s="976"/>
      <c r="C840" s="976"/>
      <c r="D840" s="976"/>
      <c r="E840" s="976"/>
      <c r="F840" s="976"/>
      <c r="G840" s="976"/>
      <c r="H840" s="976"/>
      <c r="I840" s="976"/>
      <c r="J840" s="976"/>
      <c r="K840" s="976"/>
      <c r="L840" s="976"/>
      <c r="M840" s="976"/>
      <c r="N840" s="976"/>
      <c r="O840" s="976"/>
      <c r="P840" s="976"/>
      <c r="Q840" s="976"/>
      <c r="R840" s="976"/>
      <c r="S840" s="976"/>
      <c r="T840" s="976"/>
      <c r="U840" s="976"/>
      <c r="V840" s="976"/>
      <c r="W840" s="976"/>
      <c r="X840" s="976"/>
      <c r="Y840" s="976"/>
      <c r="Z840" s="976"/>
    </row>
    <row r="841" spans="1:26" ht="15" x14ac:dyDescent="0.25">
      <c r="A841" s="976"/>
      <c r="B841" s="976"/>
      <c r="C841" s="976"/>
      <c r="D841" s="976"/>
      <c r="E841" s="976"/>
      <c r="F841" s="976"/>
      <c r="G841" s="976"/>
      <c r="H841" s="976"/>
      <c r="I841" s="976"/>
      <c r="J841" s="976"/>
      <c r="K841" s="976"/>
      <c r="L841" s="976"/>
      <c r="M841" s="976"/>
      <c r="N841" s="976"/>
      <c r="O841" s="976"/>
      <c r="P841" s="976"/>
      <c r="Q841" s="976"/>
      <c r="R841" s="976"/>
      <c r="S841" s="976"/>
      <c r="T841" s="976"/>
      <c r="U841" s="976"/>
      <c r="V841" s="976"/>
      <c r="W841" s="976"/>
      <c r="X841" s="976"/>
      <c r="Y841" s="976"/>
      <c r="Z841" s="976"/>
    </row>
    <row r="842" spans="1:26" ht="15" x14ac:dyDescent="0.25">
      <c r="A842" s="976"/>
      <c r="B842" s="976"/>
      <c r="C842" s="976"/>
      <c r="D842" s="976"/>
      <c r="E842" s="976"/>
      <c r="F842" s="976"/>
      <c r="G842" s="976"/>
      <c r="H842" s="976"/>
      <c r="I842" s="976"/>
      <c r="J842" s="976"/>
      <c r="K842" s="976"/>
      <c r="L842" s="976"/>
      <c r="M842" s="976"/>
      <c r="N842" s="976"/>
      <c r="O842" s="976"/>
      <c r="P842" s="976"/>
      <c r="Q842" s="976"/>
      <c r="R842" s="976"/>
      <c r="S842" s="976"/>
      <c r="T842" s="976"/>
      <c r="U842" s="976"/>
      <c r="V842" s="976"/>
      <c r="W842" s="976"/>
      <c r="X842" s="976"/>
      <c r="Y842" s="976"/>
      <c r="Z842" s="976"/>
    </row>
    <row r="843" spans="1:26" ht="15" x14ac:dyDescent="0.25">
      <c r="A843" s="976"/>
      <c r="B843" s="976"/>
      <c r="C843" s="976"/>
      <c r="D843" s="976"/>
      <c r="E843" s="976"/>
      <c r="F843" s="976"/>
      <c r="G843" s="976"/>
      <c r="H843" s="976"/>
      <c r="I843" s="976"/>
      <c r="J843" s="976"/>
      <c r="K843" s="976"/>
      <c r="L843" s="976"/>
      <c r="M843" s="976"/>
      <c r="N843" s="976"/>
      <c r="O843" s="976"/>
      <c r="P843" s="976"/>
      <c r="Q843" s="976"/>
      <c r="R843" s="976"/>
      <c r="S843" s="976"/>
      <c r="T843" s="976"/>
      <c r="U843" s="976"/>
      <c r="V843" s="976"/>
      <c r="W843" s="976"/>
      <c r="X843" s="976"/>
      <c r="Y843" s="976"/>
      <c r="Z843" s="976"/>
    </row>
    <row r="844" spans="1:26" ht="15" x14ac:dyDescent="0.25">
      <c r="A844" s="976"/>
      <c r="B844" s="976"/>
      <c r="C844" s="976"/>
      <c r="D844" s="976"/>
      <c r="E844" s="976"/>
      <c r="F844" s="976"/>
      <c r="G844" s="976"/>
      <c r="H844" s="976"/>
      <c r="I844" s="976"/>
      <c r="J844" s="976"/>
      <c r="K844" s="976"/>
      <c r="L844" s="976"/>
      <c r="M844" s="976"/>
      <c r="N844" s="976"/>
      <c r="O844" s="976"/>
      <c r="P844" s="976"/>
      <c r="Q844" s="976"/>
      <c r="R844" s="976"/>
      <c r="S844" s="976"/>
      <c r="T844" s="976"/>
      <c r="U844" s="976"/>
      <c r="V844" s="976"/>
      <c r="W844" s="976"/>
      <c r="X844" s="976"/>
      <c r="Y844" s="976"/>
      <c r="Z844" s="976"/>
    </row>
    <row r="845" spans="1:26" ht="15" x14ac:dyDescent="0.25">
      <c r="A845" s="976"/>
      <c r="B845" s="976"/>
      <c r="C845" s="976"/>
      <c r="D845" s="976"/>
      <c r="E845" s="976"/>
      <c r="F845" s="976"/>
      <c r="G845" s="976"/>
      <c r="H845" s="976"/>
      <c r="I845" s="976"/>
      <c r="J845" s="976"/>
      <c r="K845" s="976"/>
      <c r="L845" s="976"/>
      <c r="M845" s="976"/>
      <c r="N845" s="976"/>
      <c r="O845" s="976"/>
      <c r="P845" s="976"/>
      <c r="Q845" s="976"/>
      <c r="R845" s="976"/>
      <c r="S845" s="976"/>
      <c r="T845" s="976"/>
      <c r="U845" s="976"/>
      <c r="V845" s="976"/>
      <c r="W845" s="976"/>
      <c r="X845" s="976"/>
      <c r="Y845" s="976"/>
      <c r="Z845" s="976"/>
    </row>
    <row r="846" spans="1:26" ht="15" x14ac:dyDescent="0.25">
      <c r="A846" s="976"/>
      <c r="B846" s="976"/>
      <c r="C846" s="976"/>
      <c r="D846" s="976"/>
      <c r="E846" s="976"/>
      <c r="F846" s="976"/>
      <c r="G846" s="976"/>
      <c r="H846" s="976"/>
      <c r="I846" s="976"/>
      <c r="J846" s="976"/>
      <c r="K846" s="976"/>
      <c r="L846" s="976"/>
      <c r="M846" s="976"/>
      <c r="N846" s="976"/>
      <c r="O846" s="976"/>
      <c r="P846" s="976"/>
      <c r="Q846" s="976"/>
      <c r="R846" s="976"/>
      <c r="S846" s="976"/>
      <c r="T846" s="976"/>
      <c r="U846" s="976"/>
      <c r="V846" s="976"/>
      <c r="W846" s="976"/>
      <c r="X846" s="976"/>
      <c r="Y846" s="976"/>
      <c r="Z846" s="976"/>
    </row>
    <row r="847" spans="1:26" ht="15" x14ac:dyDescent="0.25">
      <c r="A847" s="976"/>
      <c r="B847" s="976"/>
      <c r="C847" s="976"/>
      <c r="D847" s="976"/>
      <c r="E847" s="976"/>
      <c r="F847" s="976"/>
      <c r="G847" s="976"/>
      <c r="H847" s="976"/>
      <c r="I847" s="976"/>
      <c r="J847" s="976"/>
      <c r="K847" s="976"/>
      <c r="L847" s="976"/>
      <c r="M847" s="976"/>
      <c r="N847" s="976"/>
      <c r="O847" s="976"/>
      <c r="P847" s="976"/>
      <c r="Q847" s="976"/>
      <c r="R847" s="976"/>
      <c r="S847" s="976"/>
      <c r="T847" s="976"/>
      <c r="U847" s="976"/>
      <c r="V847" s="976"/>
      <c r="W847" s="976"/>
      <c r="X847" s="976"/>
      <c r="Y847" s="976"/>
      <c r="Z847" s="976"/>
    </row>
    <row r="848" spans="1:26" ht="15" x14ac:dyDescent="0.25">
      <c r="A848" s="976"/>
      <c r="B848" s="976"/>
      <c r="C848" s="976"/>
      <c r="D848" s="976"/>
      <c r="E848" s="976"/>
      <c r="F848" s="976"/>
      <c r="G848" s="976"/>
      <c r="H848" s="976"/>
      <c r="I848" s="976"/>
      <c r="J848" s="976"/>
      <c r="K848" s="976"/>
      <c r="L848" s="976"/>
      <c r="M848" s="976"/>
      <c r="N848" s="976"/>
      <c r="O848" s="976"/>
      <c r="P848" s="976"/>
      <c r="Q848" s="976"/>
      <c r="R848" s="976"/>
      <c r="S848" s="976"/>
      <c r="T848" s="976"/>
      <c r="U848" s="976"/>
      <c r="V848" s="976"/>
      <c r="W848" s="976"/>
      <c r="X848" s="976"/>
      <c r="Y848" s="976"/>
      <c r="Z848" s="976"/>
    </row>
    <row r="849" spans="1:26" ht="15" x14ac:dyDescent="0.25">
      <c r="A849" s="976"/>
      <c r="B849" s="976"/>
      <c r="C849" s="976"/>
      <c r="D849" s="976"/>
      <c r="E849" s="976"/>
      <c r="F849" s="976"/>
      <c r="G849" s="976"/>
      <c r="H849" s="976"/>
      <c r="I849" s="976"/>
      <c r="J849" s="976"/>
      <c r="K849" s="976"/>
      <c r="L849" s="976"/>
      <c r="M849" s="976"/>
      <c r="N849" s="976"/>
      <c r="O849" s="976"/>
      <c r="P849" s="976"/>
      <c r="Q849" s="976"/>
      <c r="R849" s="976"/>
      <c r="S849" s="976"/>
      <c r="T849" s="976"/>
      <c r="U849" s="976"/>
      <c r="V849" s="976"/>
      <c r="W849" s="976"/>
      <c r="X849" s="976"/>
      <c r="Y849" s="976"/>
      <c r="Z849" s="976"/>
    </row>
    <row r="850" spans="1:26" ht="15" x14ac:dyDescent="0.25">
      <c r="A850" s="976"/>
      <c r="B850" s="976"/>
      <c r="C850" s="976"/>
      <c r="D850" s="976"/>
      <c r="E850" s="976"/>
      <c r="F850" s="976"/>
      <c r="G850" s="976"/>
      <c r="H850" s="976"/>
      <c r="I850" s="976"/>
      <c r="J850" s="976"/>
      <c r="K850" s="976"/>
      <c r="L850" s="976"/>
      <c r="M850" s="976"/>
      <c r="N850" s="976"/>
      <c r="O850" s="976"/>
      <c r="P850" s="976"/>
      <c r="Q850" s="976"/>
      <c r="R850" s="976"/>
      <c r="S850" s="976"/>
      <c r="T850" s="976"/>
      <c r="U850" s="976"/>
      <c r="V850" s="976"/>
      <c r="W850" s="976"/>
      <c r="X850" s="976"/>
      <c r="Y850" s="976"/>
      <c r="Z850" s="976"/>
    </row>
    <row r="851" spans="1:26" ht="15" x14ac:dyDescent="0.25">
      <c r="A851" s="976"/>
      <c r="B851" s="976"/>
      <c r="C851" s="976"/>
      <c r="D851" s="976"/>
      <c r="E851" s="976"/>
      <c r="F851" s="976"/>
      <c r="G851" s="976"/>
      <c r="H851" s="976"/>
      <c r="I851" s="976"/>
      <c r="J851" s="976"/>
      <c r="K851" s="976"/>
      <c r="L851" s="976"/>
      <c r="M851" s="976"/>
      <c r="N851" s="976"/>
      <c r="O851" s="976"/>
      <c r="P851" s="976"/>
      <c r="Q851" s="976"/>
      <c r="R851" s="976"/>
      <c r="S851" s="976"/>
      <c r="T851" s="976"/>
      <c r="U851" s="976"/>
      <c r="V851" s="976"/>
      <c r="W851" s="976"/>
      <c r="X851" s="976"/>
      <c r="Y851" s="976"/>
      <c r="Z851" s="976"/>
    </row>
    <row r="852" spans="1:26" ht="15" x14ac:dyDescent="0.25">
      <c r="A852" s="976"/>
      <c r="B852" s="976"/>
      <c r="C852" s="976"/>
      <c r="D852" s="976"/>
      <c r="E852" s="976"/>
      <c r="F852" s="976"/>
      <c r="G852" s="976"/>
      <c r="H852" s="976"/>
      <c r="I852" s="976"/>
      <c r="J852" s="976"/>
      <c r="K852" s="976"/>
      <c r="L852" s="976"/>
      <c r="M852" s="976"/>
      <c r="N852" s="976"/>
      <c r="O852" s="976"/>
      <c r="P852" s="976"/>
      <c r="Q852" s="976"/>
      <c r="R852" s="976"/>
      <c r="S852" s="976"/>
      <c r="T852" s="976"/>
      <c r="U852" s="976"/>
      <c r="V852" s="976"/>
      <c r="W852" s="976"/>
      <c r="X852" s="976"/>
      <c r="Y852" s="976"/>
      <c r="Z852" s="976"/>
    </row>
    <row r="853" spans="1:26" ht="15" x14ac:dyDescent="0.25">
      <c r="A853" s="976"/>
      <c r="B853" s="976"/>
      <c r="C853" s="976"/>
      <c r="D853" s="976"/>
      <c r="E853" s="976"/>
      <c r="F853" s="976"/>
      <c r="G853" s="976"/>
      <c r="H853" s="976"/>
      <c r="I853" s="976"/>
      <c r="J853" s="976"/>
      <c r="K853" s="976"/>
      <c r="L853" s="976"/>
      <c r="M853" s="976"/>
      <c r="N853" s="976"/>
      <c r="O853" s="976"/>
      <c r="P853" s="976"/>
      <c r="Q853" s="976"/>
      <c r="R853" s="976"/>
      <c r="S853" s="976"/>
      <c r="T853" s="976"/>
      <c r="U853" s="976"/>
      <c r="V853" s="976"/>
      <c r="W853" s="976"/>
      <c r="X853" s="976"/>
      <c r="Y853" s="976"/>
      <c r="Z853" s="976"/>
    </row>
    <row r="854" spans="1:26" ht="15" x14ac:dyDescent="0.25">
      <c r="A854" s="976"/>
      <c r="B854" s="976"/>
      <c r="C854" s="976"/>
      <c r="D854" s="976"/>
      <c r="E854" s="976"/>
      <c r="F854" s="976"/>
      <c r="G854" s="976"/>
      <c r="H854" s="976"/>
      <c r="I854" s="976"/>
      <c r="J854" s="976"/>
      <c r="K854" s="976"/>
      <c r="L854" s="976"/>
      <c r="M854" s="976"/>
      <c r="N854" s="976"/>
      <c r="O854" s="976"/>
      <c r="P854" s="976"/>
      <c r="Q854" s="976"/>
      <c r="R854" s="976"/>
      <c r="S854" s="976"/>
      <c r="T854" s="976"/>
      <c r="U854" s="976"/>
      <c r="V854" s="976"/>
      <c r="W854" s="976"/>
      <c r="X854" s="976"/>
      <c r="Y854" s="976"/>
      <c r="Z854" s="976"/>
    </row>
    <row r="855" spans="1:26" ht="15" x14ac:dyDescent="0.25">
      <c r="A855" s="976"/>
      <c r="B855" s="976"/>
      <c r="C855" s="976"/>
      <c r="D855" s="976"/>
      <c r="E855" s="976"/>
      <c r="F855" s="976"/>
      <c r="G855" s="976"/>
      <c r="H855" s="976"/>
      <c r="I855" s="976"/>
      <c r="J855" s="976"/>
      <c r="K855" s="976"/>
      <c r="L855" s="976"/>
      <c r="M855" s="976"/>
      <c r="N855" s="976"/>
      <c r="O855" s="976"/>
      <c r="P855" s="976"/>
      <c r="Q855" s="976"/>
      <c r="R855" s="976"/>
      <c r="S855" s="976"/>
      <c r="T855" s="976"/>
      <c r="U855" s="976"/>
      <c r="V855" s="976"/>
      <c r="W855" s="976"/>
      <c r="X855" s="976"/>
      <c r="Y855" s="976"/>
      <c r="Z855" s="976"/>
    </row>
    <row r="856" spans="1:26" ht="15" x14ac:dyDescent="0.25">
      <c r="A856" s="976"/>
      <c r="B856" s="976"/>
      <c r="C856" s="976"/>
      <c r="D856" s="976"/>
      <c r="E856" s="976"/>
      <c r="F856" s="976"/>
      <c r="G856" s="976"/>
      <c r="H856" s="976"/>
      <c r="I856" s="976"/>
      <c r="J856" s="976"/>
      <c r="K856" s="976"/>
      <c r="L856" s="976"/>
      <c r="M856" s="976"/>
      <c r="N856" s="976"/>
      <c r="O856" s="976"/>
      <c r="P856" s="976"/>
      <c r="Q856" s="976"/>
      <c r="R856" s="976"/>
      <c r="S856" s="976"/>
      <c r="T856" s="976"/>
      <c r="U856" s="976"/>
      <c r="V856" s="976"/>
      <c r="W856" s="976"/>
      <c r="X856" s="976"/>
      <c r="Y856" s="976"/>
      <c r="Z856" s="976"/>
    </row>
    <row r="857" spans="1:26" ht="15" x14ac:dyDescent="0.25">
      <c r="A857" s="976"/>
      <c r="B857" s="976"/>
      <c r="C857" s="976"/>
      <c r="D857" s="976"/>
      <c r="E857" s="976"/>
      <c r="F857" s="976"/>
      <c r="G857" s="976"/>
      <c r="H857" s="976"/>
      <c r="I857" s="976"/>
      <c r="J857" s="976"/>
      <c r="K857" s="976"/>
      <c r="L857" s="976"/>
      <c r="M857" s="976"/>
      <c r="N857" s="976"/>
      <c r="O857" s="976"/>
      <c r="P857" s="976"/>
      <c r="Q857" s="976"/>
      <c r="R857" s="976"/>
      <c r="S857" s="976"/>
      <c r="T857" s="976"/>
      <c r="U857" s="976"/>
      <c r="V857" s="976"/>
      <c r="W857" s="976"/>
      <c r="X857" s="976"/>
      <c r="Y857" s="976"/>
      <c r="Z857" s="976"/>
    </row>
    <row r="858" spans="1:26" ht="15" x14ac:dyDescent="0.25">
      <c r="A858" s="976"/>
      <c r="B858" s="976"/>
      <c r="C858" s="976"/>
      <c r="D858" s="976"/>
      <c r="E858" s="976"/>
      <c r="F858" s="976"/>
      <c r="G858" s="976"/>
      <c r="H858" s="976"/>
      <c r="I858" s="976"/>
      <c r="J858" s="976"/>
      <c r="K858" s="976"/>
      <c r="L858" s="976"/>
      <c r="M858" s="976"/>
      <c r="N858" s="976"/>
      <c r="O858" s="976"/>
      <c r="P858" s="976"/>
      <c r="Q858" s="976"/>
      <c r="R858" s="976"/>
      <c r="S858" s="976"/>
      <c r="T858" s="976"/>
      <c r="U858" s="976"/>
      <c r="V858" s="976"/>
      <c r="W858" s="976"/>
      <c r="X858" s="976"/>
      <c r="Y858" s="976"/>
      <c r="Z858" s="976"/>
    </row>
    <row r="859" spans="1:26" ht="15" x14ac:dyDescent="0.25">
      <c r="A859" s="976"/>
      <c r="B859" s="976"/>
      <c r="C859" s="976"/>
      <c r="D859" s="976"/>
      <c r="E859" s="976"/>
      <c r="F859" s="976"/>
      <c r="G859" s="976"/>
      <c r="H859" s="976"/>
      <c r="I859" s="976"/>
      <c r="J859" s="976"/>
      <c r="K859" s="976"/>
      <c r="L859" s="976"/>
      <c r="M859" s="976"/>
      <c r="N859" s="976"/>
      <c r="O859" s="976"/>
      <c r="P859" s="976"/>
      <c r="Q859" s="976"/>
      <c r="R859" s="976"/>
      <c r="S859" s="976"/>
      <c r="T859" s="976"/>
      <c r="U859" s="976"/>
      <c r="V859" s="976"/>
      <c r="W859" s="976"/>
      <c r="X859" s="976"/>
      <c r="Y859" s="976"/>
      <c r="Z859" s="976"/>
    </row>
    <row r="860" spans="1:26" ht="15" x14ac:dyDescent="0.25">
      <c r="A860" s="976"/>
      <c r="B860" s="976"/>
      <c r="C860" s="976"/>
      <c r="D860" s="976"/>
      <c r="E860" s="976"/>
      <c r="F860" s="976"/>
      <c r="G860" s="976"/>
      <c r="H860" s="976"/>
      <c r="I860" s="976"/>
      <c r="J860" s="976"/>
      <c r="K860" s="976"/>
      <c r="L860" s="976"/>
      <c r="M860" s="976"/>
      <c r="N860" s="976"/>
      <c r="O860" s="976"/>
      <c r="P860" s="976"/>
      <c r="Q860" s="976"/>
      <c r="R860" s="976"/>
      <c r="S860" s="976"/>
      <c r="T860" s="976"/>
      <c r="U860" s="976"/>
      <c r="V860" s="976"/>
      <c r="W860" s="976"/>
      <c r="X860" s="976"/>
      <c r="Y860" s="976"/>
      <c r="Z860" s="976"/>
    </row>
    <row r="861" spans="1:26" ht="15" x14ac:dyDescent="0.25">
      <c r="A861" s="976"/>
      <c r="B861" s="976"/>
      <c r="C861" s="976"/>
      <c r="D861" s="976"/>
      <c r="E861" s="976"/>
      <c r="F861" s="976"/>
      <c r="G861" s="976"/>
      <c r="H861" s="976"/>
      <c r="I861" s="976"/>
      <c r="J861" s="976"/>
      <c r="K861" s="976"/>
      <c r="L861" s="976"/>
      <c r="M861" s="976"/>
      <c r="N861" s="976"/>
      <c r="O861" s="976"/>
      <c r="P861" s="976"/>
      <c r="Q861" s="976"/>
      <c r="R861" s="976"/>
      <c r="S861" s="976"/>
      <c r="T861" s="976"/>
      <c r="U861" s="976"/>
      <c r="V861" s="976"/>
      <c r="W861" s="976"/>
      <c r="X861" s="976"/>
      <c r="Y861" s="976"/>
      <c r="Z861" s="976"/>
    </row>
    <row r="862" spans="1:26" ht="15" x14ac:dyDescent="0.25">
      <c r="A862" s="976"/>
      <c r="B862" s="976"/>
      <c r="C862" s="976"/>
      <c r="D862" s="976"/>
      <c r="E862" s="976"/>
      <c r="F862" s="976"/>
      <c r="G862" s="976"/>
      <c r="H862" s="976"/>
      <c r="I862" s="976"/>
      <c r="J862" s="976"/>
      <c r="K862" s="976"/>
      <c r="L862" s="976"/>
      <c r="M862" s="976"/>
      <c r="N862" s="976"/>
      <c r="O862" s="976"/>
      <c r="P862" s="976"/>
      <c r="Q862" s="976"/>
      <c r="R862" s="976"/>
      <c r="S862" s="976"/>
      <c r="T862" s="976"/>
      <c r="U862" s="976"/>
      <c r="V862" s="976"/>
      <c r="W862" s="976"/>
      <c r="X862" s="976"/>
      <c r="Y862" s="976"/>
      <c r="Z862" s="976"/>
    </row>
    <row r="863" spans="1:26" ht="15" x14ac:dyDescent="0.25">
      <c r="A863" s="976"/>
      <c r="B863" s="976"/>
      <c r="C863" s="976"/>
      <c r="D863" s="976"/>
      <c r="E863" s="976"/>
      <c r="F863" s="976"/>
      <c r="G863" s="976"/>
      <c r="H863" s="976"/>
      <c r="I863" s="976"/>
      <c r="J863" s="976"/>
      <c r="K863" s="976"/>
      <c r="L863" s="976"/>
      <c r="M863" s="976"/>
      <c r="N863" s="976"/>
      <c r="O863" s="976"/>
      <c r="P863" s="976"/>
      <c r="Q863" s="976"/>
      <c r="R863" s="976"/>
      <c r="S863" s="976"/>
      <c r="T863" s="976"/>
      <c r="U863" s="976"/>
      <c r="V863" s="976"/>
      <c r="W863" s="976"/>
      <c r="X863" s="976"/>
      <c r="Y863" s="976"/>
      <c r="Z863" s="976"/>
    </row>
    <row r="864" spans="1:26" ht="15" x14ac:dyDescent="0.25">
      <c r="A864" s="976"/>
      <c r="B864" s="976"/>
      <c r="C864" s="976"/>
      <c r="D864" s="976"/>
      <c r="E864" s="976"/>
      <c r="F864" s="976"/>
      <c r="G864" s="976"/>
      <c r="H864" s="976"/>
      <c r="I864" s="976"/>
      <c r="J864" s="976"/>
      <c r="K864" s="976"/>
      <c r="L864" s="976"/>
      <c r="M864" s="976"/>
      <c r="N864" s="976"/>
      <c r="O864" s="976"/>
      <c r="P864" s="976"/>
      <c r="Q864" s="976"/>
      <c r="R864" s="976"/>
      <c r="S864" s="976"/>
      <c r="T864" s="976"/>
      <c r="U864" s="976"/>
      <c r="V864" s="976"/>
      <c r="W864" s="976"/>
      <c r="X864" s="976"/>
      <c r="Y864" s="976"/>
      <c r="Z864" s="976"/>
    </row>
    <row r="865" spans="1:26" ht="15" x14ac:dyDescent="0.25">
      <c r="A865" s="976"/>
      <c r="B865" s="976"/>
      <c r="C865" s="976"/>
      <c r="D865" s="976"/>
      <c r="E865" s="976"/>
      <c r="F865" s="976"/>
      <c r="G865" s="976"/>
      <c r="H865" s="976"/>
      <c r="I865" s="976"/>
      <c r="J865" s="976"/>
      <c r="K865" s="976"/>
      <c r="L865" s="976"/>
      <c r="M865" s="976"/>
      <c r="N865" s="976"/>
      <c r="O865" s="976"/>
      <c r="P865" s="976"/>
      <c r="Q865" s="976"/>
      <c r="R865" s="976"/>
      <c r="S865" s="976"/>
      <c r="T865" s="976"/>
      <c r="U865" s="976"/>
      <c r="V865" s="976"/>
      <c r="W865" s="976"/>
      <c r="X865" s="976"/>
      <c r="Y865" s="976"/>
      <c r="Z865" s="976"/>
    </row>
    <row r="866" spans="1:26" ht="15" x14ac:dyDescent="0.25">
      <c r="A866" s="976"/>
      <c r="B866" s="976"/>
      <c r="C866" s="976"/>
      <c r="D866" s="976"/>
      <c r="E866" s="976"/>
      <c r="F866" s="976"/>
      <c r="G866" s="976"/>
      <c r="H866" s="976"/>
      <c r="I866" s="976"/>
      <c r="J866" s="976"/>
      <c r="K866" s="976"/>
      <c r="L866" s="976"/>
      <c r="M866" s="976"/>
      <c r="N866" s="976"/>
      <c r="O866" s="976"/>
      <c r="P866" s="976"/>
      <c r="Q866" s="976"/>
      <c r="R866" s="976"/>
      <c r="S866" s="976"/>
      <c r="T866" s="976"/>
      <c r="U866" s="976"/>
      <c r="V866" s="976"/>
      <c r="W866" s="976"/>
      <c r="X866" s="976"/>
      <c r="Y866" s="976"/>
      <c r="Z866" s="976"/>
    </row>
    <row r="867" spans="1:26" ht="15" x14ac:dyDescent="0.25">
      <c r="A867" s="976"/>
      <c r="B867" s="976"/>
      <c r="C867" s="976"/>
      <c r="D867" s="976"/>
      <c r="E867" s="976"/>
      <c r="F867" s="976"/>
      <c r="G867" s="976"/>
      <c r="H867" s="976"/>
      <c r="I867" s="976"/>
      <c r="J867" s="976"/>
      <c r="K867" s="976"/>
      <c r="L867" s="976"/>
      <c r="M867" s="976"/>
      <c r="N867" s="976"/>
      <c r="O867" s="976"/>
      <c r="P867" s="976"/>
      <c r="Q867" s="976"/>
      <c r="R867" s="976"/>
      <c r="S867" s="976"/>
      <c r="T867" s="976"/>
      <c r="U867" s="976"/>
      <c r="V867" s="976"/>
      <c r="W867" s="976"/>
      <c r="X867" s="976"/>
      <c r="Y867" s="976"/>
      <c r="Z867" s="976"/>
    </row>
    <row r="868" spans="1:26" ht="15" x14ac:dyDescent="0.25">
      <c r="A868" s="976"/>
      <c r="B868" s="976"/>
      <c r="C868" s="976"/>
      <c r="D868" s="976"/>
      <c r="E868" s="976"/>
      <c r="F868" s="976"/>
      <c r="G868" s="976"/>
      <c r="H868" s="976"/>
      <c r="I868" s="976"/>
      <c r="J868" s="976"/>
      <c r="K868" s="976"/>
      <c r="L868" s="976"/>
      <c r="M868" s="976"/>
      <c r="N868" s="976"/>
      <c r="O868" s="976"/>
      <c r="P868" s="976"/>
      <c r="Q868" s="976"/>
      <c r="R868" s="976"/>
      <c r="S868" s="976"/>
      <c r="T868" s="976"/>
      <c r="U868" s="976"/>
      <c r="V868" s="976"/>
      <c r="W868" s="976"/>
      <c r="X868" s="976"/>
      <c r="Y868" s="976"/>
      <c r="Z868" s="976"/>
    </row>
    <row r="869" spans="1:26" ht="15" x14ac:dyDescent="0.25">
      <c r="A869" s="976"/>
      <c r="B869" s="976"/>
      <c r="C869" s="976"/>
      <c r="D869" s="976"/>
      <c r="E869" s="976"/>
      <c r="F869" s="976"/>
      <c r="G869" s="976"/>
      <c r="H869" s="976"/>
      <c r="I869" s="976"/>
      <c r="J869" s="976"/>
      <c r="K869" s="976"/>
      <c r="L869" s="976"/>
      <c r="M869" s="976"/>
      <c r="N869" s="976"/>
      <c r="O869" s="976"/>
      <c r="P869" s="976"/>
      <c r="Q869" s="976"/>
      <c r="R869" s="976"/>
      <c r="S869" s="976"/>
      <c r="T869" s="976"/>
      <c r="U869" s="976"/>
      <c r="V869" s="976"/>
      <c r="W869" s="976"/>
      <c r="X869" s="976"/>
      <c r="Y869" s="976"/>
      <c r="Z869" s="976"/>
    </row>
    <row r="870" spans="1:26" ht="15" x14ac:dyDescent="0.25">
      <c r="A870" s="976"/>
      <c r="B870" s="976"/>
      <c r="C870" s="976"/>
      <c r="D870" s="976"/>
      <c r="E870" s="976"/>
      <c r="F870" s="976"/>
      <c r="G870" s="976"/>
      <c r="H870" s="976"/>
      <c r="I870" s="976"/>
      <c r="J870" s="976"/>
      <c r="K870" s="976"/>
      <c r="L870" s="976"/>
      <c r="M870" s="976"/>
      <c r="N870" s="976"/>
      <c r="O870" s="976"/>
      <c r="P870" s="976"/>
      <c r="Q870" s="976"/>
      <c r="R870" s="976"/>
      <c r="S870" s="976"/>
      <c r="T870" s="976"/>
      <c r="U870" s="976"/>
      <c r="V870" s="976"/>
      <c r="W870" s="976"/>
      <c r="X870" s="976"/>
      <c r="Y870" s="976"/>
      <c r="Z870" s="976"/>
    </row>
    <row r="871" spans="1:26" ht="15" x14ac:dyDescent="0.25">
      <c r="A871" s="976"/>
      <c r="B871" s="976"/>
      <c r="C871" s="976"/>
      <c r="D871" s="976"/>
      <c r="E871" s="976"/>
      <c r="F871" s="976"/>
      <c r="G871" s="976"/>
      <c r="H871" s="976"/>
      <c r="I871" s="976"/>
      <c r="J871" s="976"/>
      <c r="K871" s="976"/>
      <c r="L871" s="976"/>
      <c r="M871" s="976"/>
      <c r="N871" s="976"/>
      <c r="O871" s="976"/>
      <c r="P871" s="976"/>
      <c r="Q871" s="976"/>
      <c r="R871" s="976"/>
      <c r="S871" s="976"/>
      <c r="T871" s="976"/>
      <c r="U871" s="976"/>
      <c r="V871" s="976"/>
      <c r="W871" s="976"/>
      <c r="X871" s="976"/>
      <c r="Y871" s="976"/>
      <c r="Z871" s="976"/>
    </row>
    <row r="872" spans="1:26" ht="15" x14ac:dyDescent="0.25">
      <c r="A872" s="976"/>
      <c r="B872" s="976"/>
      <c r="C872" s="976"/>
      <c r="D872" s="976"/>
      <c r="E872" s="976"/>
      <c r="F872" s="976"/>
      <c r="G872" s="976"/>
      <c r="H872" s="976"/>
      <c r="I872" s="976"/>
      <c r="J872" s="976"/>
      <c r="K872" s="976"/>
      <c r="L872" s="976"/>
      <c r="M872" s="976"/>
      <c r="N872" s="976"/>
      <c r="O872" s="976"/>
      <c r="P872" s="976"/>
      <c r="Q872" s="976"/>
      <c r="R872" s="976"/>
      <c r="S872" s="976"/>
      <c r="T872" s="976"/>
      <c r="U872" s="976"/>
      <c r="V872" s="976"/>
      <c r="W872" s="976"/>
      <c r="X872" s="976"/>
      <c r="Y872" s="976"/>
      <c r="Z872" s="976"/>
    </row>
    <row r="873" spans="1:26" ht="15" x14ac:dyDescent="0.25">
      <c r="A873" s="976"/>
      <c r="B873" s="976"/>
      <c r="C873" s="976"/>
      <c r="D873" s="976"/>
      <c r="E873" s="976"/>
      <c r="F873" s="976"/>
      <c r="G873" s="976"/>
      <c r="H873" s="976"/>
      <c r="I873" s="976"/>
      <c r="J873" s="976"/>
      <c r="K873" s="976"/>
      <c r="L873" s="976"/>
      <c r="M873" s="976"/>
      <c r="N873" s="976"/>
      <c r="O873" s="976"/>
      <c r="P873" s="976"/>
      <c r="Q873" s="976"/>
      <c r="R873" s="976"/>
      <c r="S873" s="976"/>
      <c r="T873" s="976"/>
      <c r="U873" s="976"/>
      <c r="V873" s="976"/>
      <c r="W873" s="976"/>
      <c r="X873" s="976"/>
      <c r="Y873" s="976"/>
      <c r="Z873" s="976"/>
    </row>
    <row r="874" spans="1:26" ht="15" x14ac:dyDescent="0.25">
      <c r="A874" s="976"/>
      <c r="B874" s="976"/>
      <c r="C874" s="976"/>
      <c r="D874" s="976"/>
      <c r="E874" s="976"/>
      <c r="F874" s="976"/>
      <c r="G874" s="976"/>
      <c r="H874" s="976"/>
      <c r="I874" s="976"/>
      <c r="J874" s="976"/>
      <c r="K874" s="976"/>
      <c r="L874" s="976"/>
      <c r="M874" s="976"/>
      <c r="N874" s="976"/>
      <c r="O874" s="976"/>
      <c r="P874" s="976"/>
      <c r="Q874" s="976"/>
      <c r="R874" s="976"/>
      <c r="S874" s="976"/>
      <c r="T874" s="976"/>
      <c r="U874" s="976"/>
      <c r="V874" s="976"/>
      <c r="W874" s="976"/>
      <c r="X874" s="976"/>
      <c r="Y874" s="976"/>
      <c r="Z874" s="976"/>
    </row>
    <row r="875" spans="1:26" ht="15" x14ac:dyDescent="0.25">
      <c r="A875" s="976"/>
      <c r="B875" s="976"/>
      <c r="C875" s="976"/>
      <c r="D875" s="976"/>
      <c r="E875" s="976"/>
      <c r="F875" s="976"/>
      <c r="G875" s="976"/>
      <c r="H875" s="976"/>
      <c r="I875" s="976"/>
      <c r="J875" s="976"/>
      <c r="K875" s="976"/>
      <c r="L875" s="976"/>
      <c r="M875" s="976"/>
      <c r="N875" s="976"/>
      <c r="O875" s="976"/>
      <c r="P875" s="976"/>
      <c r="Q875" s="976"/>
      <c r="R875" s="976"/>
      <c r="S875" s="976"/>
      <c r="T875" s="976"/>
      <c r="U875" s="976"/>
      <c r="V875" s="976"/>
      <c r="W875" s="976"/>
      <c r="X875" s="976"/>
      <c r="Y875" s="976"/>
      <c r="Z875" s="976"/>
    </row>
    <row r="876" spans="1:26" ht="15" x14ac:dyDescent="0.25">
      <c r="A876" s="976"/>
      <c r="B876" s="976"/>
      <c r="C876" s="976"/>
      <c r="D876" s="976"/>
      <c r="E876" s="976"/>
      <c r="F876" s="976"/>
      <c r="G876" s="976"/>
      <c r="H876" s="976"/>
      <c r="I876" s="976"/>
      <c r="J876" s="976"/>
      <c r="K876" s="976"/>
      <c r="L876" s="976"/>
      <c r="M876" s="976"/>
      <c r="N876" s="976"/>
      <c r="O876" s="976"/>
      <c r="P876" s="976"/>
      <c r="Q876" s="976"/>
      <c r="R876" s="976"/>
      <c r="S876" s="976"/>
      <c r="T876" s="976"/>
      <c r="U876" s="976"/>
      <c r="V876" s="976"/>
      <c r="W876" s="976"/>
      <c r="X876" s="976"/>
      <c r="Y876" s="976"/>
      <c r="Z876" s="976"/>
    </row>
    <row r="877" spans="1:26" ht="15" x14ac:dyDescent="0.25">
      <c r="A877" s="976"/>
      <c r="B877" s="976"/>
      <c r="C877" s="976"/>
      <c r="D877" s="976"/>
      <c r="E877" s="976"/>
      <c r="F877" s="976"/>
      <c r="G877" s="976"/>
      <c r="H877" s="976"/>
      <c r="I877" s="976"/>
      <c r="J877" s="976"/>
      <c r="K877" s="976"/>
      <c r="L877" s="976"/>
      <c r="M877" s="976"/>
      <c r="N877" s="976"/>
      <c r="O877" s="976"/>
      <c r="P877" s="976"/>
      <c r="Q877" s="976"/>
      <c r="R877" s="976"/>
      <c r="S877" s="976"/>
      <c r="T877" s="976"/>
      <c r="U877" s="976"/>
      <c r="V877" s="976"/>
      <c r="W877" s="976"/>
      <c r="X877" s="976"/>
      <c r="Y877" s="976"/>
      <c r="Z877" s="976"/>
    </row>
    <row r="878" spans="1:26" ht="15" x14ac:dyDescent="0.25">
      <c r="A878" s="976"/>
      <c r="B878" s="976"/>
      <c r="C878" s="976"/>
      <c r="D878" s="976"/>
      <c r="E878" s="976"/>
      <c r="F878" s="976"/>
      <c r="G878" s="976"/>
      <c r="H878" s="976"/>
      <c r="I878" s="976"/>
      <c r="J878" s="976"/>
      <c r="K878" s="976"/>
      <c r="L878" s="976"/>
      <c r="M878" s="976"/>
      <c r="N878" s="976"/>
      <c r="O878" s="976"/>
      <c r="P878" s="976"/>
      <c r="Q878" s="976"/>
      <c r="R878" s="976"/>
      <c r="S878" s="976"/>
      <c r="T878" s="976"/>
      <c r="U878" s="976"/>
      <c r="V878" s="976"/>
      <c r="W878" s="976"/>
      <c r="X878" s="976"/>
      <c r="Y878" s="976"/>
      <c r="Z878" s="976"/>
    </row>
    <row r="879" spans="1:26" ht="15" x14ac:dyDescent="0.25">
      <c r="A879" s="976"/>
      <c r="B879" s="976"/>
      <c r="C879" s="976"/>
      <c r="D879" s="976"/>
      <c r="E879" s="976"/>
      <c r="F879" s="976"/>
      <c r="G879" s="976"/>
      <c r="H879" s="976"/>
      <c r="I879" s="976"/>
      <c r="J879" s="976"/>
      <c r="K879" s="976"/>
      <c r="L879" s="976"/>
      <c r="M879" s="976"/>
      <c r="N879" s="976"/>
      <c r="O879" s="976"/>
      <c r="P879" s="976"/>
      <c r="Q879" s="976"/>
      <c r="R879" s="976"/>
      <c r="S879" s="976"/>
      <c r="T879" s="976"/>
      <c r="U879" s="976"/>
      <c r="V879" s="976"/>
      <c r="W879" s="976"/>
      <c r="X879" s="976"/>
      <c r="Y879" s="976"/>
      <c r="Z879" s="976"/>
    </row>
    <row r="880" spans="1:26" ht="15" x14ac:dyDescent="0.25">
      <c r="A880" s="976"/>
      <c r="B880" s="976"/>
      <c r="C880" s="976"/>
      <c r="D880" s="976"/>
      <c r="E880" s="976"/>
      <c r="F880" s="976"/>
      <c r="G880" s="976"/>
      <c r="H880" s="976"/>
      <c r="I880" s="976"/>
      <c r="J880" s="976"/>
      <c r="K880" s="976"/>
      <c r="L880" s="976"/>
      <c r="M880" s="976"/>
      <c r="N880" s="976"/>
      <c r="O880" s="976"/>
      <c r="P880" s="976"/>
      <c r="Q880" s="976"/>
      <c r="R880" s="976"/>
      <c r="S880" s="976"/>
      <c r="T880" s="976"/>
      <c r="U880" s="976"/>
      <c r="V880" s="976"/>
      <c r="W880" s="976"/>
      <c r="X880" s="976"/>
      <c r="Y880" s="976"/>
      <c r="Z880" s="976"/>
    </row>
    <row r="881" spans="1:26" ht="15" x14ac:dyDescent="0.25">
      <c r="A881" s="976"/>
      <c r="B881" s="976"/>
      <c r="C881" s="976"/>
      <c r="D881" s="976"/>
      <c r="E881" s="976"/>
      <c r="F881" s="976"/>
      <c r="G881" s="976"/>
      <c r="H881" s="976"/>
      <c r="I881" s="976"/>
      <c r="J881" s="976"/>
      <c r="K881" s="976"/>
      <c r="L881" s="976"/>
      <c r="M881" s="976"/>
      <c r="N881" s="976"/>
      <c r="O881" s="976"/>
      <c r="P881" s="976"/>
      <c r="Q881" s="976"/>
      <c r="R881" s="976"/>
      <c r="S881" s="976"/>
      <c r="T881" s="976"/>
      <c r="U881" s="976"/>
      <c r="V881" s="976"/>
      <c r="W881" s="976"/>
      <c r="X881" s="976"/>
      <c r="Y881" s="976"/>
      <c r="Z881" s="976"/>
    </row>
    <row r="882" spans="1:26" ht="15" x14ac:dyDescent="0.25">
      <c r="A882" s="976"/>
      <c r="B882" s="976"/>
      <c r="C882" s="976"/>
      <c r="D882" s="976"/>
      <c r="E882" s="976"/>
      <c r="F882" s="976"/>
      <c r="G882" s="976"/>
      <c r="H882" s="976"/>
      <c r="I882" s="976"/>
      <c r="J882" s="976"/>
      <c r="K882" s="976"/>
      <c r="L882" s="976"/>
      <c r="M882" s="976"/>
      <c r="N882" s="976"/>
      <c r="O882" s="976"/>
      <c r="P882" s="976"/>
      <c r="Q882" s="976"/>
      <c r="R882" s="976"/>
      <c r="S882" s="976"/>
      <c r="T882" s="976"/>
      <c r="U882" s="976"/>
      <c r="V882" s="976"/>
      <c r="W882" s="976"/>
      <c r="X882" s="976"/>
      <c r="Y882" s="976"/>
      <c r="Z882" s="976"/>
    </row>
    <row r="883" spans="1:26" ht="15" x14ac:dyDescent="0.25">
      <c r="A883" s="976"/>
      <c r="B883" s="976"/>
      <c r="C883" s="976"/>
      <c r="D883" s="976"/>
      <c r="E883" s="976"/>
      <c r="F883" s="976"/>
      <c r="G883" s="976"/>
      <c r="H883" s="976"/>
      <c r="I883" s="976"/>
      <c r="J883" s="976"/>
      <c r="K883" s="976"/>
      <c r="L883" s="976"/>
      <c r="M883" s="976"/>
      <c r="N883" s="976"/>
      <c r="O883" s="976"/>
      <c r="P883" s="976"/>
      <c r="Q883" s="976"/>
      <c r="R883" s="976"/>
      <c r="S883" s="976"/>
      <c r="T883" s="976"/>
      <c r="U883" s="976"/>
      <c r="V883" s="976"/>
      <c r="W883" s="976"/>
      <c r="X883" s="976"/>
      <c r="Y883" s="976"/>
      <c r="Z883" s="976"/>
    </row>
    <row r="884" spans="1:26" ht="15" x14ac:dyDescent="0.25">
      <c r="A884" s="976"/>
      <c r="B884" s="976"/>
      <c r="C884" s="976"/>
      <c r="D884" s="976"/>
      <c r="E884" s="976"/>
      <c r="F884" s="976"/>
      <c r="G884" s="976"/>
      <c r="H884" s="976"/>
      <c r="I884" s="976"/>
      <c r="J884" s="976"/>
      <c r="K884" s="976"/>
      <c r="L884" s="976"/>
      <c r="M884" s="976"/>
      <c r="N884" s="976"/>
      <c r="O884" s="976"/>
      <c r="P884" s="976"/>
      <c r="Q884" s="976"/>
      <c r="R884" s="976"/>
      <c r="S884" s="976"/>
      <c r="T884" s="976"/>
      <c r="U884" s="976"/>
      <c r="V884" s="976"/>
      <c r="W884" s="976"/>
      <c r="X884" s="976"/>
      <c r="Y884" s="976"/>
      <c r="Z884" s="976"/>
    </row>
    <row r="885" spans="1:26" ht="15" x14ac:dyDescent="0.25">
      <c r="A885" s="976"/>
      <c r="B885" s="976"/>
      <c r="C885" s="976"/>
      <c r="D885" s="976"/>
      <c r="E885" s="976"/>
      <c r="F885" s="976"/>
      <c r="G885" s="976"/>
      <c r="H885" s="976"/>
      <c r="I885" s="976"/>
      <c r="J885" s="976"/>
      <c r="K885" s="976"/>
      <c r="L885" s="976"/>
      <c r="M885" s="976"/>
      <c r="N885" s="976"/>
      <c r="O885" s="976"/>
      <c r="P885" s="976"/>
      <c r="Q885" s="976"/>
      <c r="R885" s="976"/>
      <c r="S885" s="976"/>
      <c r="T885" s="976"/>
      <c r="U885" s="976"/>
      <c r="V885" s="976"/>
      <c r="W885" s="976"/>
      <c r="X885" s="976"/>
      <c r="Y885" s="976"/>
      <c r="Z885" s="976"/>
    </row>
    <row r="886" spans="1:26" ht="15" x14ac:dyDescent="0.25">
      <c r="A886" s="976"/>
      <c r="B886" s="976"/>
      <c r="C886" s="976"/>
      <c r="D886" s="976"/>
      <c r="E886" s="976"/>
      <c r="F886" s="976"/>
      <c r="G886" s="976"/>
      <c r="H886" s="976"/>
      <c r="I886" s="976"/>
      <c r="J886" s="976"/>
      <c r="K886" s="976"/>
      <c r="L886" s="976"/>
      <c r="M886" s="976"/>
      <c r="N886" s="976"/>
      <c r="O886" s="976"/>
      <c r="P886" s="976"/>
      <c r="Q886" s="976"/>
      <c r="R886" s="976"/>
      <c r="S886" s="976"/>
      <c r="T886" s="976"/>
      <c r="U886" s="976"/>
      <c r="V886" s="976"/>
      <c r="W886" s="976"/>
      <c r="X886" s="976"/>
      <c r="Y886" s="976"/>
      <c r="Z886" s="976"/>
    </row>
    <row r="887" spans="1:26" ht="15" x14ac:dyDescent="0.25">
      <c r="A887" s="976"/>
      <c r="B887" s="976"/>
      <c r="C887" s="976"/>
      <c r="D887" s="976"/>
      <c r="E887" s="976"/>
      <c r="F887" s="976"/>
      <c r="G887" s="976"/>
      <c r="H887" s="976"/>
      <c r="I887" s="976"/>
      <c r="J887" s="976"/>
      <c r="K887" s="976"/>
      <c r="L887" s="976"/>
      <c r="M887" s="976"/>
      <c r="N887" s="976"/>
      <c r="O887" s="976"/>
      <c r="P887" s="976"/>
      <c r="Q887" s="976"/>
      <c r="R887" s="976"/>
      <c r="S887" s="976"/>
      <c r="T887" s="976"/>
      <c r="U887" s="976"/>
      <c r="V887" s="976"/>
      <c r="W887" s="976"/>
      <c r="X887" s="976"/>
      <c r="Y887" s="976"/>
      <c r="Z887" s="976"/>
    </row>
    <row r="888" spans="1:26" ht="15" x14ac:dyDescent="0.25">
      <c r="A888" s="976"/>
      <c r="B888" s="976"/>
      <c r="C888" s="976"/>
      <c r="D888" s="976"/>
      <c r="E888" s="976"/>
      <c r="F888" s="976"/>
      <c r="G888" s="976"/>
      <c r="H888" s="976"/>
      <c r="I888" s="976"/>
      <c r="J888" s="976"/>
      <c r="K888" s="976"/>
      <c r="L888" s="976"/>
      <c r="M888" s="976"/>
      <c r="N888" s="976"/>
      <c r="O888" s="976"/>
      <c r="P888" s="976"/>
      <c r="Q888" s="976"/>
      <c r="R888" s="976"/>
      <c r="S888" s="976"/>
      <c r="T888" s="976"/>
      <c r="U888" s="976"/>
      <c r="V888" s="976"/>
      <c r="W888" s="976"/>
      <c r="X888" s="976"/>
      <c r="Y888" s="976"/>
      <c r="Z888" s="976"/>
    </row>
    <row r="889" spans="1:26" ht="15" x14ac:dyDescent="0.25">
      <c r="A889" s="976"/>
      <c r="B889" s="976"/>
      <c r="C889" s="976"/>
      <c r="D889" s="976"/>
      <c r="E889" s="976"/>
      <c r="F889" s="976"/>
      <c r="G889" s="976"/>
      <c r="H889" s="976"/>
      <c r="I889" s="976"/>
      <c r="J889" s="976"/>
      <c r="K889" s="976"/>
      <c r="L889" s="976"/>
      <c r="M889" s="976"/>
      <c r="N889" s="976"/>
      <c r="O889" s="976"/>
      <c r="P889" s="976"/>
      <c r="Q889" s="976"/>
      <c r="R889" s="976"/>
      <c r="S889" s="976"/>
      <c r="T889" s="976"/>
      <c r="U889" s="976"/>
      <c r="V889" s="976"/>
      <c r="W889" s="976"/>
      <c r="X889" s="976"/>
      <c r="Y889" s="976"/>
      <c r="Z889" s="976"/>
    </row>
    <row r="890" spans="1:26" ht="15" x14ac:dyDescent="0.25">
      <c r="A890" s="976"/>
      <c r="B890" s="976"/>
      <c r="C890" s="976"/>
      <c r="D890" s="976"/>
      <c r="E890" s="976"/>
      <c r="F890" s="976"/>
      <c r="G890" s="976"/>
      <c r="H890" s="976"/>
      <c r="I890" s="976"/>
      <c r="J890" s="976"/>
      <c r="K890" s="976"/>
      <c r="L890" s="976"/>
      <c r="M890" s="976"/>
      <c r="N890" s="976"/>
      <c r="O890" s="976"/>
      <c r="P890" s="976"/>
      <c r="Q890" s="976"/>
      <c r="R890" s="976"/>
      <c r="S890" s="976"/>
      <c r="T890" s="976"/>
      <c r="U890" s="976"/>
      <c r="V890" s="976"/>
      <c r="W890" s="976"/>
      <c r="X890" s="976"/>
      <c r="Y890" s="976"/>
      <c r="Z890" s="976"/>
    </row>
    <row r="891" spans="1:26" ht="15" x14ac:dyDescent="0.25">
      <c r="A891" s="976"/>
      <c r="B891" s="976"/>
      <c r="C891" s="976"/>
      <c r="D891" s="976"/>
      <c r="E891" s="976"/>
      <c r="F891" s="976"/>
      <c r="G891" s="976"/>
      <c r="H891" s="976"/>
      <c r="I891" s="976"/>
      <c r="J891" s="976"/>
      <c r="K891" s="976"/>
      <c r="L891" s="976"/>
      <c r="M891" s="976"/>
      <c r="N891" s="976"/>
      <c r="O891" s="976"/>
      <c r="P891" s="976"/>
      <c r="Q891" s="976"/>
      <c r="R891" s="976"/>
      <c r="S891" s="976"/>
      <c r="T891" s="976"/>
      <c r="U891" s="976"/>
      <c r="V891" s="976"/>
      <c r="W891" s="976"/>
      <c r="X891" s="976"/>
      <c r="Y891" s="976"/>
      <c r="Z891" s="976"/>
    </row>
    <row r="892" spans="1:26" ht="15" x14ac:dyDescent="0.25">
      <c r="A892" s="976"/>
      <c r="B892" s="976"/>
      <c r="C892" s="976"/>
      <c r="D892" s="976"/>
      <c r="E892" s="976"/>
      <c r="F892" s="976"/>
      <c r="G892" s="976"/>
      <c r="H892" s="976"/>
      <c r="I892" s="976"/>
      <c r="J892" s="976"/>
      <c r="K892" s="976"/>
      <c r="L892" s="976"/>
      <c r="M892" s="976"/>
      <c r="N892" s="976"/>
      <c r="O892" s="976"/>
      <c r="P892" s="976"/>
      <c r="Q892" s="976"/>
      <c r="R892" s="976"/>
      <c r="S892" s="976"/>
      <c r="T892" s="976"/>
      <c r="U892" s="976"/>
      <c r="V892" s="976"/>
      <c r="W892" s="976"/>
      <c r="X892" s="976"/>
      <c r="Y892" s="976"/>
      <c r="Z892" s="976"/>
    </row>
    <row r="893" spans="1:26" ht="15" x14ac:dyDescent="0.25">
      <c r="A893" s="976"/>
      <c r="B893" s="976"/>
      <c r="C893" s="976"/>
      <c r="D893" s="976"/>
      <c r="E893" s="976"/>
      <c r="F893" s="976"/>
      <c r="G893" s="976"/>
      <c r="H893" s="976"/>
      <c r="I893" s="976"/>
      <c r="J893" s="976"/>
      <c r="K893" s="976"/>
      <c r="L893" s="976"/>
      <c r="M893" s="976"/>
      <c r="N893" s="976"/>
      <c r="O893" s="976"/>
      <c r="P893" s="976"/>
      <c r="Q893" s="976"/>
      <c r="R893" s="976"/>
      <c r="S893" s="976"/>
      <c r="T893" s="976"/>
      <c r="U893" s="976"/>
      <c r="V893" s="976"/>
      <c r="W893" s="976"/>
      <c r="X893" s="976"/>
      <c r="Y893" s="976"/>
      <c r="Z893" s="976"/>
    </row>
    <row r="894" spans="1:26" ht="15" x14ac:dyDescent="0.25">
      <c r="A894" s="976"/>
      <c r="B894" s="976"/>
      <c r="C894" s="976"/>
      <c r="D894" s="976"/>
      <c r="E894" s="976"/>
      <c r="F894" s="976"/>
      <c r="G894" s="976"/>
      <c r="H894" s="976"/>
      <c r="I894" s="976"/>
      <c r="J894" s="976"/>
      <c r="K894" s="976"/>
      <c r="L894" s="976"/>
      <c r="M894" s="976"/>
      <c r="N894" s="976"/>
      <c r="O894" s="976"/>
      <c r="P894" s="976"/>
      <c r="Q894" s="976"/>
      <c r="R894" s="976"/>
      <c r="S894" s="976"/>
      <c r="T894" s="976"/>
      <c r="U894" s="976"/>
      <c r="V894" s="976"/>
      <c r="W894" s="976"/>
      <c r="X894" s="976"/>
      <c r="Y894" s="976"/>
      <c r="Z894" s="976"/>
    </row>
    <row r="895" spans="1:26" ht="15" x14ac:dyDescent="0.25">
      <c r="A895" s="976"/>
      <c r="B895" s="976"/>
      <c r="C895" s="976"/>
      <c r="D895" s="976"/>
      <c r="E895" s="976"/>
      <c r="F895" s="976"/>
      <c r="G895" s="976"/>
      <c r="H895" s="976"/>
      <c r="I895" s="976"/>
      <c r="J895" s="976"/>
      <c r="K895" s="976"/>
      <c r="L895" s="976"/>
      <c r="M895" s="976"/>
      <c r="N895" s="976"/>
      <c r="O895" s="976"/>
      <c r="P895" s="976"/>
      <c r="Q895" s="976"/>
      <c r="R895" s="976"/>
      <c r="S895" s="976"/>
      <c r="T895" s="976"/>
      <c r="U895" s="976"/>
      <c r="V895" s="976"/>
      <c r="W895" s="976"/>
      <c r="X895" s="976"/>
      <c r="Y895" s="976"/>
      <c r="Z895" s="976"/>
    </row>
    <row r="896" spans="1:26" ht="15" x14ac:dyDescent="0.25">
      <c r="A896" s="976"/>
      <c r="B896" s="976"/>
      <c r="C896" s="976"/>
      <c r="D896" s="976"/>
      <c r="E896" s="976"/>
      <c r="F896" s="976"/>
      <c r="G896" s="976"/>
      <c r="H896" s="976"/>
      <c r="I896" s="976"/>
      <c r="J896" s="976"/>
      <c r="K896" s="976"/>
      <c r="L896" s="976"/>
      <c r="M896" s="976"/>
      <c r="N896" s="976"/>
      <c r="O896" s="976"/>
      <c r="P896" s="976"/>
      <c r="Q896" s="976"/>
      <c r="R896" s="976"/>
      <c r="S896" s="976"/>
      <c r="T896" s="976"/>
      <c r="U896" s="976"/>
      <c r="V896" s="976"/>
      <c r="W896" s="976"/>
      <c r="X896" s="976"/>
      <c r="Y896" s="976"/>
      <c r="Z896" s="976"/>
    </row>
    <row r="897" spans="1:26" ht="15" x14ac:dyDescent="0.25">
      <c r="A897" s="976"/>
      <c r="B897" s="976"/>
      <c r="C897" s="976"/>
      <c r="D897" s="976"/>
      <c r="E897" s="976"/>
      <c r="F897" s="976"/>
      <c r="G897" s="976"/>
      <c r="H897" s="976"/>
      <c r="I897" s="976"/>
      <c r="J897" s="976"/>
      <c r="K897" s="976"/>
      <c r="L897" s="976"/>
      <c r="M897" s="976"/>
      <c r="N897" s="976"/>
      <c r="O897" s="976"/>
      <c r="P897" s="976"/>
      <c r="Q897" s="976"/>
      <c r="R897" s="976"/>
      <c r="S897" s="976"/>
      <c r="T897" s="976"/>
      <c r="U897" s="976"/>
      <c r="V897" s="976"/>
      <c r="W897" s="976"/>
      <c r="X897" s="976"/>
      <c r="Y897" s="976"/>
      <c r="Z897" s="976"/>
    </row>
    <row r="898" spans="1:26" ht="15" x14ac:dyDescent="0.25">
      <c r="A898" s="976"/>
      <c r="B898" s="976"/>
      <c r="C898" s="976"/>
      <c r="D898" s="976"/>
      <c r="E898" s="976"/>
      <c r="F898" s="976"/>
      <c r="G898" s="976"/>
      <c r="H898" s="976"/>
      <c r="I898" s="976"/>
      <c r="J898" s="976"/>
      <c r="K898" s="976"/>
      <c r="L898" s="976"/>
      <c r="M898" s="976"/>
      <c r="N898" s="976"/>
      <c r="O898" s="976"/>
      <c r="P898" s="976"/>
      <c r="Q898" s="976"/>
      <c r="R898" s="976"/>
      <c r="S898" s="976"/>
      <c r="T898" s="976"/>
      <c r="U898" s="976"/>
      <c r="V898" s="976"/>
      <c r="W898" s="976"/>
      <c r="X898" s="976"/>
      <c r="Y898" s="976"/>
      <c r="Z898" s="976"/>
    </row>
    <row r="899" spans="1:26" ht="15" x14ac:dyDescent="0.25">
      <c r="A899" s="976"/>
      <c r="B899" s="976"/>
      <c r="C899" s="976"/>
      <c r="D899" s="976"/>
      <c r="E899" s="976"/>
      <c r="F899" s="976"/>
      <c r="G899" s="976"/>
      <c r="H899" s="976"/>
      <c r="I899" s="976"/>
      <c r="J899" s="976"/>
      <c r="K899" s="976"/>
      <c r="L899" s="976"/>
      <c r="M899" s="976"/>
      <c r="N899" s="976"/>
      <c r="O899" s="976"/>
      <c r="P899" s="976"/>
      <c r="Q899" s="976"/>
      <c r="R899" s="976"/>
      <c r="S899" s="976"/>
      <c r="T899" s="976"/>
      <c r="U899" s="976"/>
      <c r="V899" s="976"/>
      <c r="W899" s="976"/>
      <c r="X899" s="976"/>
      <c r="Y899" s="976"/>
      <c r="Z899" s="976"/>
    </row>
    <row r="900" spans="1:26" ht="15" x14ac:dyDescent="0.25">
      <c r="A900" s="976"/>
      <c r="B900" s="976"/>
      <c r="C900" s="976"/>
      <c r="D900" s="976"/>
      <c r="E900" s="976"/>
      <c r="F900" s="976"/>
      <c r="G900" s="976"/>
      <c r="H900" s="976"/>
      <c r="I900" s="976"/>
      <c r="J900" s="976"/>
      <c r="K900" s="976"/>
      <c r="L900" s="976"/>
      <c r="M900" s="976"/>
      <c r="N900" s="976"/>
      <c r="O900" s="976"/>
      <c r="P900" s="976"/>
      <c r="Q900" s="976"/>
      <c r="R900" s="976"/>
      <c r="S900" s="976"/>
      <c r="T900" s="976"/>
      <c r="U900" s="976"/>
      <c r="V900" s="976"/>
      <c r="W900" s="976"/>
      <c r="X900" s="976"/>
      <c r="Y900" s="976"/>
      <c r="Z900" s="976"/>
    </row>
    <row r="901" spans="1:26" ht="15" x14ac:dyDescent="0.25">
      <c r="A901" s="976"/>
      <c r="B901" s="976"/>
      <c r="C901" s="976"/>
      <c r="D901" s="976"/>
      <c r="E901" s="976"/>
      <c r="F901" s="976"/>
      <c r="G901" s="976"/>
      <c r="H901" s="976"/>
      <c r="I901" s="976"/>
      <c r="J901" s="976"/>
      <c r="K901" s="976"/>
      <c r="L901" s="976"/>
      <c r="M901" s="976"/>
      <c r="N901" s="976"/>
      <c r="O901" s="976"/>
      <c r="P901" s="976"/>
      <c r="Q901" s="976"/>
      <c r="R901" s="976"/>
      <c r="S901" s="976"/>
      <c r="T901" s="976"/>
      <c r="U901" s="976"/>
      <c r="V901" s="976"/>
      <c r="W901" s="976"/>
      <c r="X901" s="976"/>
      <c r="Y901" s="976"/>
      <c r="Z901" s="976"/>
    </row>
    <row r="902" spans="1:26" ht="15" x14ac:dyDescent="0.25">
      <c r="A902" s="976"/>
      <c r="B902" s="976"/>
      <c r="C902" s="976"/>
      <c r="D902" s="976"/>
      <c r="E902" s="976"/>
      <c r="F902" s="976"/>
      <c r="G902" s="976"/>
      <c r="H902" s="976"/>
      <c r="I902" s="976"/>
      <c r="J902" s="976"/>
      <c r="K902" s="976"/>
      <c r="L902" s="976"/>
      <c r="M902" s="976"/>
      <c r="N902" s="976"/>
      <c r="O902" s="976"/>
      <c r="P902" s="976"/>
      <c r="Q902" s="976"/>
      <c r="R902" s="976"/>
      <c r="S902" s="976"/>
      <c r="T902" s="976"/>
      <c r="U902" s="976"/>
      <c r="V902" s="976"/>
      <c r="W902" s="976"/>
      <c r="X902" s="976"/>
      <c r="Y902" s="976"/>
      <c r="Z902" s="976"/>
    </row>
    <row r="903" spans="1:26" ht="15" x14ac:dyDescent="0.25">
      <c r="A903" s="976"/>
      <c r="B903" s="976"/>
      <c r="C903" s="976"/>
      <c r="D903" s="976"/>
      <c r="E903" s="976"/>
      <c r="F903" s="976"/>
      <c r="G903" s="976"/>
      <c r="H903" s="976"/>
      <c r="I903" s="976"/>
      <c r="J903" s="976"/>
      <c r="K903" s="976"/>
      <c r="L903" s="976"/>
      <c r="M903" s="976"/>
      <c r="N903" s="976"/>
      <c r="O903" s="976"/>
      <c r="P903" s="976"/>
      <c r="Q903" s="976"/>
      <c r="R903" s="976"/>
      <c r="S903" s="976"/>
      <c r="T903" s="976"/>
      <c r="U903" s="976"/>
      <c r="V903" s="976"/>
      <c r="W903" s="976"/>
      <c r="X903" s="976"/>
      <c r="Y903" s="976"/>
      <c r="Z903" s="976"/>
    </row>
    <row r="904" spans="1:26" ht="15" x14ac:dyDescent="0.25">
      <c r="A904" s="976"/>
      <c r="B904" s="976"/>
      <c r="C904" s="976"/>
      <c r="D904" s="976"/>
      <c r="E904" s="976"/>
      <c r="F904" s="976"/>
      <c r="G904" s="976"/>
      <c r="H904" s="976"/>
      <c r="I904" s="976"/>
      <c r="J904" s="976"/>
      <c r="K904" s="976"/>
      <c r="L904" s="976"/>
      <c r="M904" s="976"/>
      <c r="N904" s="976"/>
      <c r="O904" s="976"/>
      <c r="P904" s="976"/>
      <c r="Q904" s="976"/>
      <c r="R904" s="976"/>
      <c r="S904" s="976"/>
      <c r="T904" s="976"/>
      <c r="U904" s="976"/>
      <c r="V904" s="976"/>
      <c r="W904" s="976"/>
      <c r="X904" s="976"/>
      <c r="Y904" s="976"/>
      <c r="Z904" s="976"/>
    </row>
    <row r="905" spans="1:26" ht="15" x14ac:dyDescent="0.25">
      <c r="A905" s="976"/>
      <c r="B905" s="976"/>
      <c r="C905" s="976"/>
      <c r="D905" s="976"/>
      <c r="E905" s="976"/>
      <c r="F905" s="976"/>
      <c r="G905" s="976"/>
      <c r="H905" s="976"/>
      <c r="I905" s="976"/>
      <c r="J905" s="976"/>
      <c r="K905" s="976"/>
      <c r="L905" s="976"/>
      <c r="M905" s="976"/>
      <c r="N905" s="976"/>
      <c r="O905" s="976"/>
      <c r="P905" s="976"/>
      <c r="Q905" s="976"/>
      <c r="R905" s="976"/>
      <c r="S905" s="976"/>
      <c r="T905" s="976"/>
      <c r="U905" s="976"/>
      <c r="V905" s="976"/>
      <c r="W905" s="976"/>
      <c r="X905" s="976"/>
      <c r="Y905" s="976"/>
      <c r="Z905" s="976"/>
    </row>
    <row r="906" spans="1:26" ht="15" x14ac:dyDescent="0.25">
      <c r="A906" s="976"/>
      <c r="B906" s="976"/>
      <c r="C906" s="976"/>
      <c r="D906" s="976"/>
      <c r="E906" s="976"/>
      <c r="F906" s="976"/>
      <c r="G906" s="976"/>
      <c r="H906" s="976"/>
      <c r="I906" s="976"/>
      <c r="J906" s="976"/>
      <c r="K906" s="976"/>
      <c r="L906" s="976"/>
      <c r="M906" s="976"/>
      <c r="N906" s="976"/>
      <c r="O906" s="976"/>
      <c r="P906" s="976"/>
      <c r="Q906" s="976"/>
      <c r="R906" s="976"/>
      <c r="S906" s="976"/>
      <c r="T906" s="976"/>
      <c r="U906" s="976"/>
      <c r="V906" s="976"/>
      <c r="W906" s="976"/>
      <c r="X906" s="976"/>
      <c r="Y906" s="976"/>
      <c r="Z906" s="976"/>
    </row>
    <row r="907" spans="1:26" ht="15" x14ac:dyDescent="0.25">
      <c r="A907" s="976"/>
      <c r="B907" s="976"/>
      <c r="C907" s="976"/>
      <c r="D907" s="976"/>
      <c r="E907" s="976"/>
      <c r="F907" s="976"/>
      <c r="G907" s="976"/>
      <c r="H907" s="976"/>
      <c r="I907" s="976"/>
      <c r="J907" s="976"/>
      <c r="K907" s="976"/>
      <c r="L907" s="976"/>
      <c r="M907" s="976"/>
      <c r="N907" s="976"/>
      <c r="O907" s="976"/>
      <c r="P907" s="976"/>
      <c r="Q907" s="976"/>
      <c r="R907" s="976"/>
      <c r="S907" s="976"/>
      <c r="T907" s="976"/>
      <c r="U907" s="976"/>
      <c r="V907" s="976"/>
      <c r="W907" s="976"/>
      <c r="X907" s="976"/>
      <c r="Y907" s="976"/>
      <c r="Z907" s="976"/>
    </row>
    <row r="908" spans="1:26" ht="15" x14ac:dyDescent="0.25">
      <c r="A908" s="976"/>
      <c r="B908" s="976"/>
      <c r="C908" s="976"/>
      <c r="D908" s="976"/>
      <c r="E908" s="976"/>
      <c r="F908" s="976"/>
      <c r="G908" s="976"/>
      <c r="H908" s="976"/>
      <c r="I908" s="976"/>
      <c r="J908" s="976"/>
      <c r="K908" s="976"/>
      <c r="L908" s="976"/>
      <c r="M908" s="976"/>
      <c r="N908" s="976"/>
      <c r="O908" s="976"/>
      <c r="P908" s="976"/>
      <c r="Q908" s="976"/>
      <c r="R908" s="976"/>
      <c r="S908" s="976"/>
      <c r="T908" s="976"/>
      <c r="U908" s="976"/>
      <c r="V908" s="976"/>
      <c r="W908" s="976"/>
      <c r="X908" s="976"/>
      <c r="Y908" s="976"/>
      <c r="Z908" s="976"/>
    </row>
    <row r="909" spans="1:26" ht="15" x14ac:dyDescent="0.25">
      <c r="A909" s="976"/>
      <c r="B909" s="976"/>
      <c r="C909" s="976"/>
      <c r="D909" s="976"/>
      <c r="E909" s="976"/>
      <c r="F909" s="976"/>
      <c r="G909" s="976"/>
      <c r="H909" s="976"/>
      <c r="I909" s="976"/>
      <c r="J909" s="976"/>
      <c r="K909" s="976"/>
      <c r="L909" s="976"/>
      <c r="M909" s="976"/>
      <c r="N909" s="976"/>
      <c r="O909" s="976"/>
      <c r="P909" s="976"/>
      <c r="Q909" s="976"/>
      <c r="R909" s="976"/>
      <c r="S909" s="976"/>
      <c r="T909" s="976"/>
      <c r="U909" s="976"/>
      <c r="V909" s="976"/>
      <c r="W909" s="976"/>
      <c r="X909" s="976"/>
      <c r="Y909" s="976"/>
      <c r="Z909" s="976"/>
    </row>
    <row r="910" spans="1:26" ht="15" x14ac:dyDescent="0.25">
      <c r="A910" s="976"/>
      <c r="B910" s="976"/>
      <c r="C910" s="976"/>
      <c r="D910" s="976"/>
      <c r="E910" s="976"/>
      <c r="F910" s="976"/>
      <c r="G910" s="976"/>
      <c r="H910" s="976"/>
      <c r="I910" s="976"/>
      <c r="J910" s="976"/>
      <c r="K910" s="976"/>
      <c r="L910" s="976"/>
      <c r="M910" s="976"/>
      <c r="N910" s="976"/>
      <c r="O910" s="976"/>
      <c r="P910" s="976"/>
      <c r="Q910" s="976"/>
      <c r="R910" s="976"/>
      <c r="S910" s="976"/>
      <c r="T910" s="976"/>
      <c r="U910" s="976"/>
      <c r="V910" s="976"/>
      <c r="W910" s="976"/>
      <c r="X910" s="976"/>
      <c r="Y910" s="976"/>
      <c r="Z910" s="976"/>
    </row>
    <row r="911" spans="1:26" ht="15" x14ac:dyDescent="0.25">
      <c r="A911" s="976"/>
      <c r="B911" s="976"/>
      <c r="C911" s="976"/>
      <c r="D911" s="976"/>
      <c r="E911" s="976"/>
      <c r="F911" s="976"/>
      <c r="G911" s="976"/>
      <c r="H911" s="976"/>
      <c r="I911" s="976"/>
      <c r="J911" s="976"/>
      <c r="K911" s="976"/>
      <c r="L911" s="976"/>
      <c r="M911" s="976"/>
      <c r="N911" s="976"/>
      <c r="O911" s="976"/>
      <c r="P911" s="976"/>
      <c r="Q911" s="976"/>
      <c r="R911" s="976"/>
      <c r="S911" s="976"/>
      <c r="T911" s="976"/>
      <c r="U911" s="976"/>
      <c r="V911" s="976"/>
      <c r="W911" s="976"/>
      <c r="X911" s="976"/>
      <c r="Y911" s="976"/>
      <c r="Z911" s="976"/>
    </row>
    <row r="912" spans="1:26" ht="15" x14ac:dyDescent="0.25">
      <c r="A912" s="976"/>
      <c r="B912" s="976"/>
      <c r="C912" s="976"/>
      <c r="D912" s="976"/>
      <c r="E912" s="976"/>
      <c r="F912" s="976"/>
      <c r="G912" s="976"/>
      <c r="H912" s="976"/>
      <c r="I912" s="976"/>
      <c r="J912" s="976"/>
      <c r="K912" s="976"/>
      <c r="L912" s="976"/>
      <c r="M912" s="976"/>
      <c r="N912" s="976"/>
      <c r="O912" s="976"/>
      <c r="P912" s="976"/>
      <c r="Q912" s="976"/>
      <c r="R912" s="976"/>
      <c r="S912" s="976"/>
      <c r="T912" s="976"/>
      <c r="U912" s="976"/>
      <c r="V912" s="976"/>
      <c r="W912" s="976"/>
      <c r="X912" s="976"/>
      <c r="Y912" s="976"/>
      <c r="Z912" s="976"/>
    </row>
    <row r="913" spans="1:26" ht="15" x14ac:dyDescent="0.25">
      <c r="A913" s="976"/>
      <c r="B913" s="976"/>
      <c r="C913" s="976"/>
      <c r="D913" s="976"/>
      <c r="E913" s="976"/>
      <c r="F913" s="976"/>
      <c r="G913" s="976"/>
      <c r="H913" s="976"/>
      <c r="I913" s="976"/>
      <c r="J913" s="976"/>
      <c r="K913" s="976"/>
      <c r="L913" s="976"/>
      <c r="M913" s="976"/>
      <c r="N913" s="976"/>
      <c r="O913" s="976"/>
      <c r="P913" s="976"/>
      <c r="Q913" s="976"/>
      <c r="R913" s="976"/>
      <c r="S913" s="976"/>
      <c r="T913" s="976"/>
      <c r="U913" s="976"/>
      <c r="V913" s="976"/>
      <c r="W913" s="976"/>
      <c r="X913" s="976"/>
      <c r="Y913" s="976"/>
      <c r="Z913" s="976"/>
    </row>
    <row r="914" spans="1:26" ht="15" x14ac:dyDescent="0.25">
      <c r="A914" s="976"/>
      <c r="B914" s="976"/>
      <c r="C914" s="976"/>
      <c r="D914" s="976"/>
      <c r="E914" s="976"/>
      <c r="F914" s="976"/>
      <c r="G914" s="976"/>
      <c r="H914" s="976"/>
      <c r="I914" s="976"/>
      <c r="J914" s="976"/>
      <c r="K914" s="976"/>
      <c r="L914" s="976"/>
      <c r="M914" s="976"/>
      <c r="N914" s="976"/>
      <c r="O914" s="976"/>
      <c r="P914" s="976"/>
      <c r="Q914" s="976"/>
      <c r="R914" s="976"/>
      <c r="S914" s="976"/>
      <c r="T914" s="976"/>
      <c r="U914" s="976"/>
      <c r="V914" s="976"/>
      <c r="W914" s="976"/>
      <c r="X914" s="976"/>
      <c r="Y914" s="976"/>
      <c r="Z914" s="976"/>
    </row>
    <row r="915" spans="1:26" ht="15" x14ac:dyDescent="0.25">
      <c r="A915" s="976"/>
      <c r="B915" s="976"/>
      <c r="C915" s="976"/>
      <c r="D915" s="976"/>
      <c r="E915" s="976"/>
      <c r="F915" s="976"/>
      <c r="G915" s="976"/>
      <c r="H915" s="976"/>
      <c r="I915" s="976"/>
      <c r="J915" s="976"/>
      <c r="K915" s="976"/>
      <c r="L915" s="976"/>
      <c r="M915" s="976"/>
      <c r="N915" s="976"/>
      <c r="O915" s="976"/>
      <c r="P915" s="976"/>
      <c r="Q915" s="976"/>
      <c r="R915" s="976"/>
      <c r="S915" s="976"/>
      <c r="T915" s="976"/>
      <c r="U915" s="976"/>
      <c r="V915" s="976"/>
      <c r="W915" s="976"/>
      <c r="X915" s="976"/>
      <c r="Y915" s="976"/>
      <c r="Z915" s="976"/>
    </row>
    <row r="916" spans="1:26" ht="15" x14ac:dyDescent="0.25">
      <c r="A916" s="976"/>
      <c r="B916" s="976"/>
      <c r="C916" s="976"/>
      <c r="D916" s="976"/>
      <c r="E916" s="976"/>
      <c r="F916" s="976"/>
      <c r="G916" s="976"/>
      <c r="H916" s="976"/>
      <c r="I916" s="976"/>
      <c r="J916" s="976"/>
      <c r="K916" s="976"/>
      <c r="L916" s="976"/>
      <c r="M916" s="976"/>
      <c r="N916" s="976"/>
      <c r="O916" s="976"/>
      <c r="P916" s="976"/>
      <c r="Q916" s="976"/>
      <c r="R916" s="976"/>
      <c r="S916" s="976"/>
      <c r="T916" s="976"/>
      <c r="U916" s="976"/>
      <c r="V916" s="976"/>
      <c r="W916" s="976"/>
      <c r="X916" s="976"/>
      <c r="Y916" s="976"/>
      <c r="Z916" s="976"/>
    </row>
    <row r="917" spans="1:26" ht="15" x14ac:dyDescent="0.25">
      <c r="A917" s="976"/>
      <c r="B917" s="976"/>
      <c r="C917" s="976"/>
      <c r="D917" s="976"/>
      <c r="E917" s="976"/>
      <c r="F917" s="976"/>
      <c r="G917" s="976"/>
      <c r="H917" s="976"/>
      <c r="I917" s="976"/>
      <c r="J917" s="976"/>
      <c r="K917" s="976"/>
      <c r="L917" s="976"/>
      <c r="M917" s="976"/>
      <c r="N917" s="976"/>
      <c r="O917" s="976"/>
      <c r="P917" s="976"/>
      <c r="Q917" s="976"/>
      <c r="R917" s="976"/>
      <c r="S917" s="976"/>
      <c r="T917" s="976"/>
      <c r="U917" s="976"/>
      <c r="V917" s="976"/>
      <c r="W917" s="976"/>
      <c r="X917" s="976"/>
      <c r="Y917" s="976"/>
      <c r="Z917" s="976"/>
    </row>
    <row r="918" spans="1:26" ht="15" x14ac:dyDescent="0.25">
      <c r="A918" s="976"/>
      <c r="B918" s="976"/>
      <c r="C918" s="976"/>
      <c r="D918" s="976"/>
      <c r="E918" s="976"/>
      <c r="F918" s="976"/>
      <c r="G918" s="976"/>
      <c r="H918" s="976"/>
      <c r="I918" s="976"/>
      <c r="J918" s="976"/>
      <c r="K918" s="976"/>
      <c r="L918" s="976"/>
      <c r="M918" s="976"/>
      <c r="N918" s="976"/>
      <c r="O918" s="976"/>
      <c r="P918" s="976"/>
      <c r="Q918" s="976"/>
      <c r="R918" s="976"/>
      <c r="S918" s="976"/>
      <c r="T918" s="976"/>
      <c r="U918" s="976"/>
      <c r="V918" s="976"/>
      <c r="W918" s="976"/>
      <c r="X918" s="976"/>
      <c r="Y918" s="976"/>
      <c r="Z918" s="976"/>
    </row>
    <row r="919" spans="1:26" ht="15" x14ac:dyDescent="0.25">
      <c r="A919" s="976"/>
      <c r="B919" s="976"/>
      <c r="C919" s="976"/>
      <c r="D919" s="976"/>
      <c r="E919" s="976"/>
      <c r="F919" s="976"/>
      <c r="G919" s="976"/>
      <c r="H919" s="976"/>
      <c r="I919" s="976"/>
      <c r="J919" s="976"/>
      <c r="K919" s="976"/>
      <c r="L919" s="976"/>
      <c r="M919" s="976"/>
      <c r="N919" s="976"/>
      <c r="O919" s="976"/>
      <c r="P919" s="976"/>
      <c r="Q919" s="976"/>
      <c r="R919" s="976"/>
      <c r="S919" s="976"/>
      <c r="T919" s="976"/>
      <c r="U919" s="976"/>
      <c r="V919" s="976"/>
      <c r="W919" s="976"/>
      <c r="X919" s="976"/>
      <c r="Y919" s="976"/>
      <c r="Z919" s="976"/>
    </row>
    <row r="920" spans="1:26" ht="15" x14ac:dyDescent="0.25">
      <c r="A920" s="976"/>
      <c r="B920" s="976"/>
      <c r="C920" s="976"/>
      <c r="D920" s="976"/>
      <c r="E920" s="976"/>
      <c r="F920" s="976"/>
      <c r="G920" s="976"/>
      <c r="H920" s="976"/>
      <c r="I920" s="976"/>
      <c r="J920" s="976"/>
      <c r="K920" s="976"/>
      <c r="L920" s="976"/>
      <c r="M920" s="976"/>
      <c r="N920" s="976"/>
      <c r="O920" s="976"/>
      <c r="P920" s="976"/>
      <c r="Q920" s="976"/>
      <c r="R920" s="976"/>
      <c r="S920" s="976"/>
      <c r="T920" s="976"/>
      <c r="U920" s="976"/>
      <c r="V920" s="976"/>
      <c r="W920" s="976"/>
      <c r="X920" s="976"/>
      <c r="Y920" s="976"/>
      <c r="Z920" s="976"/>
    </row>
    <row r="921" spans="1:26" ht="15" x14ac:dyDescent="0.25">
      <c r="A921" s="976"/>
      <c r="B921" s="976"/>
      <c r="C921" s="976"/>
      <c r="D921" s="976"/>
      <c r="E921" s="976"/>
      <c r="F921" s="976"/>
      <c r="G921" s="976"/>
      <c r="H921" s="976"/>
      <c r="I921" s="976"/>
      <c r="J921" s="976"/>
      <c r="K921" s="976"/>
      <c r="L921" s="976"/>
      <c r="M921" s="976"/>
      <c r="N921" s="976"/>
      <c r="O921" s="976"/>
      <c r="P921" s="976"/>
      <c r="Q921" s="976"/>
      <c r="R921" s="976"/>
      <c r="S921" s="976"/>
      <c r="T921" s="976"/>
      <c r="U921" s="976"/>
      <c r="V921" s="976"/>
      <c r="W921" s="976"/>
      <c r="X921" s="976"/>
      <c r="Y921" s="976"/>
      <c r="Z921" s="976"/>
    </row>
    <row r="922" spans="1:26" ht="15" x14ac:dyDescent="0.25">
      <c r="A922" s="976"/>
      <c r="B922" s="976"/>
      <c r="C922" s="976"/>
      <c r="D922" s="976"/>
      <c r="E922" s="976"/>
      <c r="F922" s="976"/>
      <c r="G922" s="976"/>
      <c r="H922" s="976"/>
      <c r="I922" s="976"/>
      <c r="J922" s="976"/>
      <c r="K922" s="976"/>
      <c r="L922" s="976"/>
      <c r="M922" s="976"/>
      <c r="N922" s="976"/>
      <c r="O922" s="976"/>
      <c r="P922" s="976"/>
      <c r="Q922" s="976"/>
      <c r="R922" s="976"/>
      <c r="S922" s="976"/>
      <c r="T922" s="976"/>
      <c r="U922" s="976"/>
      <c r="V922" s="976"/>
      <c r="W922" s="976"/>
      <c r="X922" s="976"/>
      <c r="Y922" s="976"/>
      <c r="Z922" s="976"/>
    </row>
    <row r="923" spans="1:26" ht="15" x14ac:dyDescent="0.25">
      <c r="A923" s="976"/>
      <c r="B923" s="976"/>
      <c r="C923" s="976"/>
      <c r="D923" s="976"/>
      <c r="E923" s="976"/>
      <c r="F923" s="976"/>
      <c r="G923" s="976"/>
      <c r="H923" s="976"/>
      <c r="I923" s="976"/>
      <c r="J923" s="976"/>
      <c r="K923" s="976"/>
      <c r="L923" s="976"/>
      <c r="M923" s="976"/>
      <c r="N923" s="976"/>
      <c r="O923" s="976"/>
      <c r="P923" s="976"/>
      <c r="Q923" s="976"/>
      <c r="R923" s="976"/>
      <c r="S923" s="976"/>
      <c r="T923" s="976"/>
      <c r="U923" s="976"/>
      <c r="V923" s="976"/>
      <c r="W923" s="976"/>
      <c r="X923" s="976"/>
      <c r="Y923" s="976"/>
      <c r="Z923" s="976"/>
    </row>
    <row r="924" spans="1:26" ht="15" x14ac:dyDescent="0.25">
      <c r="A924" s="976"/>
      <c r="B924" s="976"/>
      <c r="C924" s="976"/>
      <c r="D924" s="976"/>
      <c r="E924" s="976"/>
      <c r="F924" s="976"/>
      <c r="G924" s="976"/>
      <c r="H924" s="976"/>
      <c r="I924" s="976"/>
      <c r="J924" s="976"/>
      <c r="K924" s="976"/>
      <c r="L924" s="976"/>
      <c r="M924" s="976"/>
      <c r="N924" s="976"/>
      <c r="O924" s="976"/>
      <c r="P924" s="976"/>
      <c r="Q924" s="976"/>
      <c r="R924" s="976"/>
      <c r="S924" s="976"/>
      <c r="T924" s="976"/>
      <c r="U924" s="976"/>
      <c r="V924" s="976"/>
      <c r="W924" s="976"/>
      <c r="X924" s="976"/>
      <c r="Y924" s="976"/>
      <c r="Z924" s="976"/>
    </row>
    <row r="925" spans="1:26" ht="15" x14ac:dyDescent="0.25">
      <c r="A925" s="976"/>
      <c r="B925" s="976"/>
      <c r="C925" s="976"/>
      <c r="D925" s="976"/>
      <c r="E925" s="976"/>
      <c r="F925" s="976"/>
      <c r="G925" s="976"/>
      <c r="H925" s="976"/>
      <c r="I925" s="976"/>
      <c r="J925" s="976"/>
      <c r="K925" s="976"/>
      <c r="L925" s="976"/>
      <c r="M925" s="976"/>
      <c r="N925" s="976"/>
      <c r="O925" s="976"/>
      <c r="P925" s="976"/>
      <c r="Q925" s="976"/>
      <c r="R925" s="976"/>
      <c r="S925" s="976"/>
      <c r="T925" s="976"/>
      <c r="U925" s="976"/>
      <c r="V925" s="976"/>
      <c r="W925" s="976"/>
      <c r="X925" s="976"/>
      <c r="Y925" s="976"/>
      <c r="Z925" s="976"/>
    </row>
    <row r="926" spans="1:26" ht="15" x14ac:dyDescent="0.25">
      <c r="A926" s="976"/>
      <c r="B926" s="976"/>
      <c r="C926" s="976"/>
      <c r="D926" s="976"/>
      <c r="E926" s="976"/>
      <c r="F926" s="976"/>
      <c r="G926" s="976"/>
      <c r="H926" s="976"/>
      <c r="I926" s="976"/>
      <c r="J926" s="976"/>
      <c r="K926" s="976"/>
      <c r="L926" s="976"/>
      <c r="M926" s="976"/>
      <c r="N926" s="976"/>
      <c r="O926" s="976"/>
      <c r="P926" s="976"/>
      <c r="Q926" s="976"/>
      <c r="R926" s="976"/>
      <c r="S926" s="976"/>
      <c r="T926" s="976"/>
      <c r="U926" s="976"/>
      <c r="V926" s="976"/>
      <c r="W926" s="976"/>
      <c r="X926" s="976"/>
      <c r="Y926" s="976"/>
      <c r="Z926" s="976"/>
    </row>
    <row r="927" spans="1:26" ht="15" x14ac:dyDescent="0.25">
      <c r="A927" s="976"/>
      <c r="B927" s="976"/>
      <c r="C927" s="976"/>
      <c r="D927" s="976"/>
      <c r="E927" s="976"/>
      <c r="F927" s="976"/>
      <c r="G927" s="976"/>
      <c r="H927" s="976"/>
      <c r="I927" s="976"/>
      <c r="J927" s="976"/>
      <c r="K927" s="976"/>
      <c r="L927" s="976"/>
      <c r="M927" s="976"/>
      <c r="N927" s="976"/>
      <c r="O927" s="976"/>
      <c r="P927" s="976"/>
      <c r="Q927" s="976"/>
      <c r="R927" s="976"/>
      <c r="S927" s="976"/>
      <c r="T927" s="976"/>
      <c r="U927" s="976"/>
      <c r="V927" s="976"/>
      <c r="W927" s="976"/>
      <c r="X927" s="976"/>
      <c r="Y927" s="976"/>
      <c r="Z927" s="976"/>
    </row>
    <row r="928" spans="1:26" ht="15" x14ac:dyDescent="0.25">
      <c r="A928" s="976"/>
      <c r="B928" s="976"/>
      <c r="C928" s="976"/>
      <c r="D928" s="976"/>
      <c r="E928" s="976"/>
      <c r="F928" s="976"/>
      <c r="G928" s="976"/>
      <c r="H928" s="976"/>
      <c r="I928" s="976"/>
      <c r="J928" s="976"/>
      <c r="K928" s="976"/>
      <c r="L928" s="976"/>
      <c r="M928" s="976"/>
      <c r="N928" s="976"/>
      <c r="O928" s="976"/>
      <c r="P928" s="976"/>
      <c r="Q928" s="976"/>
      <c r="R928" s="976"/>
      <c r="S928" s="976"/>
      <c r="T928" s="976"/>
      <c r="U928" s="976"/>
      <c r="V928" s="976"/>
      <c r="W928" s="976"/>
      <c r="X928" s="976"/>
      <c r="Y928" s="976"/>
      <c r="Z928" s="976"/>
    </row>
    <row r="929" spans="1:26" ht="15" x14ac:dyDescent="0.25">
      <c r="A929" s="976"/>
      <c r="B929" s="976"/>
      <c r="C929" s="976"/>
      <c r="D929" s="976"/>
      <c r="E929" s="976"/>
      <c r="F929" s="976"/>
      <c r="G929" s="976"/>
      <c r="H929" s="976"/>
      <c r="I929" s="976"/>
      <c r="J929" s="976"/>
      <c r="K929" s="976"/>
      <c r="L929" s="976"/>
      <c r="M929" s="976"/>
      <c r="N929" s="976"/>
      <c r="O929" s="976"/>
      <c r="P929" s="976"/>
      <c r="Q929" s="976"/>
      <c r="R929" s="976"/>
      <c r="S929" s="976"/>
      <c r="T929" s="976"/>
      <c r="U929" s="976"/>
      <c r="V929" s="976"/>
      <c r="W929" s="976"/>
      <c r="X929" s="976"/>
      <c r="Y929" s="976"/>
      <c r="Z929" s="976"/>
    </row>
    <row r="930" spans="1:26" ht="15" x14ac:dyDescent="0.25">
      <c r="A930" s="976"/>
      <c r="B930" s="976"/>
      <c r="C930" s="976"/>
      <c r="D930" s="976"/>
      <c r="E930" s="976"/>
      <c r="F930" s="976"/>
      <c r="G930" s="976"/>
      <c r="H930" s="976"/>
      <c r="I930" s="976"/>
      <c r="J930" s="976"/>
      <c r="K930" s="976"/>
      <c r="L930" s="976"/>
      <c r="M930" s="976"/>
      <c r="N930" s="976"/>
      <c r="O930" s="976"/>
      <c r="P930" s="976"/>
      <c r="Q930" s="976"/>
      <c r="R930" s="976"/>
      <c r="S930" s="976"/>
      <c r="T930" s="976"/>
      <c r="U930" s="976"/>
      <c r="V930" s="976"/>
      <c r="W930" s="976"/>
      <c r="X930" s="976"/>
      <c r="Y930" s="976"/>
      <c r="Z930" s="976"/>
    </row>
    <row r="931" spans="1:26" ht="15" x14ac:dyDescent="0.25">
      <c r="A931" s="976"/>
      <c r="B931" s="976"/>
      <c r="C931" s="976"/>
      <c r="D931" s="976"/>
      <c r="E931" s="976"/>
      <c r="F931" s="976"/>
      <c r="G931" s="976"/>
      <c r="H931" s="976"/>
      <c r="I931" s="976"/>
      <c r="J931" s="976"/>
      <c r="K931" s="976"/>
      <c r="L931" s="976"/>
      <c r="M931" s="976"/>
      <c r="N931" s="976"/>
      <c r="O931" s="976"/>
      <c r="P931" s="976"/>
      <c r="Q931" s="976"/>
      <c r="R931" s="976"/>
      <c r="S931" s="976"/>
      <c r="T931" s="976"/>
      <c r="U931" s="976"/>
      <c r="V931" s="976"/>
      <c r="W931" s="976"/>
      <c r="X931" s="976"/>
      <c r="Y931" s="976"/>
      <c r="Z931" s="976"/>
    </row>
    <row r="932" spans="1:26" ht="15" x14ac:dyDescent="0.25">
      <c r="A932" s="976"/>
      <c r="B932" s="976"/>
      <c r="C932" s="976"/>
      <c r="D932" s="976"/>
      <c r="E932" s="976"/>
      <c r="F932" s="976"/>
      <c r="G932" s="976"/>
      <c r="H932" s="976"/>
      <c r="I932" s="976"/>
      <c r="J932" s="976"/>
      <c r="K932" s="976"/>
      <c r="L932" s="976"/>
      <c r="M932" s="976"/>
      <c r="N932" s="976"/>
      <c r="O932" s="976"/>
      <c r="P932" s="976"/>
      <c r="Q932" s="976"/>
      <c r="R932" s="976"/>
      <c r="S932" s="976"/>
      <c r="T932" s="976"/>
      <c r="U932" s="976"/>
      <c r="V932" s="976"/>
      <c r="W932" s="976"/>
      <c r="X932" s="976"/>
      <c r="Y932" s="976"/>
      <c r="Z932" s="976"/>
    </row>
    <row r="933" spans="1:26" ht="15" x14ac:dyDescent="0.25">
      <c r="A933" s="976"/>
      <c r="B933" s="976"/>
      <c r="C933" s="976"/>
      <c r="D933" s="976"/>
      <c r="E933" s="976"/>
      <c r="F933" s="976"/>
      <c r="G933" s="976"/>
      <c r="H933" s="976"/>
      <c r="I933" s="976"/>
      <c r="J933" s="976"/>
      <c r="K933" s="976"/>
      <c r="L933" s="976"/>
      <c r="M933" s="976"/>
      <c r="N933" s="976"/>
      <c r="O933" s="976"/>
      <c r="P933" s="976"/>
      <c r="Q933" s="976"/>
      <c r="R933" s="976"/>
      <c r="S933" s="976"/>
      <c r="T933" s="976"/>
      <c r="U933" s="976"/>
      <c r="V933" s="976"/>
      <c r="W933" s="976"/>
      <c r="X933" s="976"/>
      <c r="Y933" s="976"/>
      <c r="Z933" s="976"/>
    </row>
    <row r="934" spans="1:26" ht="15" x14ac:dyDescent="0.25">
      <c r="A934" s="976"/>
      <c r="B934" s="976"/>
      <c r="C934" s="976"/>
      <c r="D934" s="976"/>
      <c r="E934" s="976"/>
      <c r="F934" s="976"/>
      <c r="G934" s="976"/>
      <c r="H934" s="976"/>
      <c r="I934" s="976"/>
      <c r="J934" s="976"/>
      <c r="K934" s="976"/>
      <c r="L934" s="976"/>
      <c r="M934" s="976"/>
      <c r="N934" s="976"/>
      <c r="O934" s="976"/>
      <c r="P934" s="976"/>
      <c r="Q934" s="976"/>
      <c r="R934" s="976"/>
      <c r="S934" s="976"/>
      <c r="T934" s="976"/>
      <c r="U934" s="976"/>
      <c r="V934" s="976"/>
      <c r="W934" s="976"/>
      <c r="X934" s="976"/>
      <c r="Y934" s="976"/>
      <c r="Z934" s="976"/>
    </row>
    <row r="935" spans="1:26" ht="15" x14ac:dyDescent="0.25">
      <c r="A935" s="976"/>
      <c r="B935" s="976"/>
      <c r="C935" s="976"/>
      <c r="D935" s="976"/>
      <c r="E935" s="976"/>
      <c r="F935" s="976"/>
      <c r="G935" s="976"/>
      <c r="H935" s="976"/>
      <c r="I935" s="976"/>
      <c r="J935" s="976"/>
      <c r="K935" s="976"/>
      <c r="L935" s="976"/>
      <c r="M935" s="976"/>
      <c r="N935" s="976"/>
      <c r="O935" s="976"/>
      <c r="P935" s="976"/>
      <c r="Q935" s="976"/>
      <c r="R935" s="976"/>
      <c r="S935" s="976"/>
      <c r="T935" s="976"/>
      <c r="U935" s="976"/>
      <c r="V935" s="976"/>
      <c r="W935" s="976"/>
      <c r="X935" s="976"/>
      <c r="Y935" s="976"/>
      <c r="Z935" s="976"/>
    </row>
    <row r="936" spans="1:26" ht="15" x14ac:dyDescent="0.25">
      <c r="A936" s="976"/>
      <c r="B936" s="976"/>
      <c r="C936" s="976"/>
      <c r="D936" s="976"/>
      <c r="E936" s="976"/>
      <c r="F936" s="976"/>
      <c r="G936" s="976"/>
      <c r="H936" s="976"/>
      <c r="I936" s="976"/>
      <c r="J936" s="976"/>
      <c r="K936" s="976"/>
      <c r="L936" s="976"/>
      <c r="M936" s="976"/>
      <c r="N936" s="976"/>
      <c r="O936" s="976"/>
      <c r="P936" s="976"/>
      <c r="Q936" s="976"/>
      <c r="R936" s="976"/>
      <c r="S936" s="976"/>
      <c r="T936" s="976"/>
      <c r="U936" s="976"/>
      <c r="V936" s="976"/>
      <c r="W936" s="976"/>
      <c r="X936" s="976"/>
      <c r="Y936" s="976"/>
      <c r="Z936" s="976"/>
    </row>
    <row r="937" spans="1:26" ht="15" x14ac:dyDescent="0.25">
      <c r="A937" s="976"/>
      <c r="B937" s="976"/>
      <c r="C937" s="976"/>
      <c r="D937" s="976"/>
      <c r="E937" s="976"/>
      <c r="F937" s="976"/>
      <c r="G937" s="976"/>
      <c r="H937" s="976"/>
      <c r="I937" s="976"/>
      <c r="J937" s="976"/>
      <c r="K937" s="976"/>
      <c r="L937" s="976"/>
      <c r="M937" s="976"/>
      <c r="N937" s="976"/>
      <c r="O937" s="976"/>
      <c r="P937" s="976"/>
      <c r="Q937" s="976"/>
      <c r="R937" s="976"/>
      <c r="S937" s="976"/>
      <c r="T937" s="976"/>
      <c r="U937" s="976"/>
      <c r="V937" s="976"/>
      <c r="W937" s="976"/>
      <c r="X937" s="976"/>
      <c r="Y937" s="976"/>
      <c r="Z937" s="976"/>
    </row>
    <row r="938" spans="1:26" ht="15" x14ac:dyDescent="0.25">
      <c r="A938" s="976"/>
      <c r="B938" s="976"/>
      <c r="C938" s="976"/>
      <c r="D938" s="976"/>
      <c r="E938" s="976"/>
      <c r="F938" s="976"/>
      <c r="G938" s="976"/>
      <c r="H938" s="976"/>
      <c r="I938" s="976"/>
      <c r="J938" s="976"/>
      <c r="K938" s="976"/>
      <c r="L938" s="976"/>
      <c r="M938" s="976"/>
      <c r="N938" s="976"/>
      <c r="O938" s="976"/>
      <c r="P938" s="976"/>
      <c r="Q938" s="976"/>
      <c r="R938" s="976"/>
      <c r="S938" s="976"/>
      <c r="T938" s="976"/>
      <c r="U938" s="976"/>
      <c r="V938" s="976"/>
      <c r="W938" s="976"/>
      <c r="X938" s="976"/>
      <c r="Y938" s="976"/>
      <c r="Z938" s="976"/>
    </row>
    <row r="939" spans="1:26" ht="15" x14ac:dyDescent="0.25">
      <c r="A939" s="976"/>
      <c r="B939" s="976"/>
      <c r="C939" s="976"/>
      <c r="D939" s="976"/>
      <c r="E939" s="976"/>
      <c r="F939" s="976"/>
      <c r="G939" s="976"/>
      <c r="H939" s="976"/>
      <c r="I939" s="976"/>
      <c r="J939" s="976"/>
      <c r="K939" s="976"/>
      <c r="L939" s="976"/>
      <c r="M939" s="976"/>
      <c r="N939" s="976"/>
      <c r="O939" s="976"/>
      <c r="P939" s="976"/>
      <c r="Q939" s="976"/>
      <c r="R939" s="976"/>
      <c r="S939" s="976"/>
      <c r="T939" s="976"/>
      <c r="U939" s="976"/>
      <c r="V939" s="976"/>
      <c r="W939" s="976"/>
      <c r="X939" s="976"/>
      <c r="Y939" s="976"/>
      <c r="Z939" s="976"/>
    </row>
    <row r="940" spans="1:26" ht="15" x14ac:dyDescent="0.25">
      <c r="A940" s="976"/>
      <c r="B940" s="976"/>
      <c r="C940" s="976"/>
      <c r="D940" s="976"/>
      <c r="E940" s="976"/>
      <c r="F940" s="976"/>
      <c r="G940" s="976"/>
      <c r="H940" s="976"/>
      <c r="I940" s="976"/>
      <c r="J940" s="976"/>
      <c r="K940" s="976"/>
      <c r="L940" s="976"/>
      <c r="M940" s="976"/>
      <c r="N940" s="976"/>
      <c r="O940" s="976"/>
      <c r="P940" s="976"/>
      <c r="Q940" s="976"/>
      <c r="R940" s="976"/>
      <c r="S940" s="976"/>
      <c r="T940" s="976"/>
      <c r="U940" s="976"/>
      <c r="V940" s="976"/>
      <c r="W940" s="976"/>
      <c r="X940" s="976"/>
      <c r="Y940" s="976"/>
      <c r="Z940" s="976"/>
    </row>
    <row r="941" spans="1:26" ht="15" x14ac:dyDescent="0.25">
      <c r="A941" s="976"/>
      <c r="B941" s="976"/>
      <c r="C941" s="976"/>
      <c r="D941" s="976"/>
      <c r="E941" s="976"/>
      <c r="F941" s="976"/>
      <c r="G941" s="976"/>
      <c r="H941" s="976"/>
      <c r="I941" s="976"/>
      <c r="J941" s="976"/>
      <c r="K941" s="976"/>
      <c r="L941" s="976"/>
      <c r="M941" s="976"/>
      <c r="N941" s="976"/>
      <c r="O941" s="976"/>
      <c r="P941" s="976"/>
      <c r="Q941" s="976"/>
      <c r="R941" s="976"/>
      <c r="S941" s="976"/>
      <c r="T941" s="976"/>
      <c r="U941" s="976"/>
      <c r="V941" s="976"/>
      <c r="W941" s="976"/>
      <c r="X941" s="976"/>
      <c r="Y941" s="976"/>
      <c r="Z941" s="976"/>
    </row>
    <row r="942" spans="1:26" ht="15" x14ac:dyDescent="0.25">
      <c r="A942" s="976"/>
      <c r="B942" s="976"/>
      <c r="C942" s="976"/>
      <c r="D942" s="976"/>
      <c r="E942" s="976"/>
      <c r="F942" s="976"/>
      <c r="G942" s="976"/>
      <c r="H942" s="976"/>
      <c r="I942" s="976"/>
      <c r="J942" s="976"/>
      <c r="K942" s="976"/>
      <c r="L942" s="976"/>
      <c r="M942" s="976"/>
      <c r="N942" s="976"/>
      <c r="O942" s="976"/>
      <c r="P942" s="976"/>
      <c r="Q942" s="976"/>
      <c r="R942" s="976"/>
      <c r="S942" s="976"/>
      <c r="T942" s="976"/>
      <c r="U942" s="976"/>
      <c r="V942" s="976"/>
      <c r="W942" s="976"/>
      <c r="X942" s="976"/>
      <c r="Y942" s="976"/>
      <c r="Z942" s="976"/>
    </row>
    <row r="943" spans="1:26" ht="15" x14ac:dyDescent="0.25">
      <c r="A943" s="976"/>
      <c r="B943" s="976"/>
      <c r="C943" s="976"/>
      <c r="D943" s="976"/>
      <c r="E943" s="976"/>
      <c r="F943" s="976"/>
      <c r="G943" s="976"/>
      <c r="H943" s="976"/>
      <c r="I943" s="976"/>
      <c r="J943" s="976"/>
      <c r="K943" s="976"/>
      <c r="L943" s="976"/>
      <c r="M943" s="976"/>
      <c r="N943" s="976"/>
      <c r="O943" s="976"/>
      <c r="P943" s="976"/>
      <c r="Q943" s="976"/>
      <c r="R943" s="976"/>
      <c r="S943" s="976"/>
      <c r="T943" s="976"/>
      <c r="U943" s="976"/>
      <c r="V943" s="976"/>
      <c r="W943" s="976"/>
      <c r="X943" s="976"/>
      <c r="Y943" s="976"/>
      <c r="Z943" s="976"/>
    </row>
    <row r="944" spans="1:26" ht="15" x14ac:dyDescent="0.25">
      <c r="A944" s="976"/>
      <c r="B944" s="976"/>
      <c r="C944" s="976"/>
      <c r="D944" s="976"/>
      <c r="E944" s="976"/>
      <c r="F944" s="976"/>
      <c r="G944" s="976"/>
      <c r="H944" s="976"/>
      <c r="I944" s="976"/>
      <c r="J944" s="976"/>
      <c r="K944" s="976"/>
      <c r="L944" s="976"/>
      <c r="M944" s="976"/>
      <c r="N944" s="976"/>
      <c r="O944" s="976"/>
      <c r="P944" s="976"/>
      <c r="Q944" s="976"/>
      <c r="R944" s="976"/>
      <c r="S944" s="976"/>
      <c r="T944" s="976"/>
      <c r="U944" s="976"/>
      <c r="V944" s="976"/>
      <c r="W944" s="976"/>
      <c r="X944" s="976"/>
      <c r="Y944" s="976"/>
      <c r="Z944" s="976"/>
    </row>
    <row r="945" spans="1:26" ht="15" x14ac:dyDescent="0.25">
      <c r="A945" s="976"/>
      <c r="B945" s="976"/>
      <c r="C945" s="976"/>
      <c r="D945" s="976"/>
      <c r="E945" s="976"/>
      <c r="F945" s="976"/>
      <c r="G945" s="976"/>
      <c r="H945" s="976"/>
      <c r="I945" s="976"/>
      <c r="J945" s="976"/>
      <c r="K945" s="976"/>
      <c r="L945" s="976"/>
      <c r="M945" s="976"/>
      <c r="N945" s="976"/>
      <c r="O945" s="976"/>
      <c r="P945" s="976"/>
      <c r="Q945" s="976"/>
      <c r="R945" s="976"/>
      <c r="S945" s="976"/>
      <c r="T945" s="976"/>
      <c r="U945" s="976"/>
      <c r="V945" s="976"/>
      <c r="W945" s="976"/>
      <c r="X945" s="976"/>
      <c r="Y945" s="976"/>
      <c r="Z945" s="976"/>
    </row>
    <row r="946" spans="1:26" ht="15" x14ac:dyDescent="0.25">
      <c r="A946" s="976"/>
      <c r="B946" s="976"/>
      <c r="C946" s="976"/>
      <c r="D946" s="976"/>
      <c r="E946" s="976"/>
      <c r="F946" s="976"/>
      <c r="G946" s="976"/>
      <c r="H946" s="976"/>
      <c r="I946" s="976"/>
      <c r="J946" s="976"/>
      <c r="K946" s="976"/>
      <c r="L946" s="976"/>
      <c r="M946" s="976"/>
      <c r="N946" s="976"/>
      <c r="O946" s="976"/>
      <c r="P946" s="976"/>
      <c r="Q946" s="976"/>
      <c r="R946" s="976"/>
      <c r="S946" s="976"/>
      <c r="T946" s="976"/>
      <c r="U946" s="976"/>
      <c r="V946" s="976"/>
      <c r="W946" s="976"/>
      <c r="X946" s="976"/>
      <c r="Y946" s="976"/>
      <c r="Z946" s="976"/>
    </row>
    <row r="947" spans="1:26" ht="15" x14ac:dyDescent="0.25">
      <c r="A947" s="976"/>
      <c r="B947" s="976"/>
      <c r="C947" s="976"/>
      <c r="D947" s="976"/>
      <c r="E947" s="976"/>
      <c r="F947" s="976"/>
      <c r="G947" s="976"/>
      <c r="H947" s="976"/>
      <c r="I947" s="976"/>
      <c r="J947" s="976"/>
      <c r="K947" s="976"/>
      <c r="L947" s="976"/>
      <c r="M947" s="976"/>
      <c r="N947" s="976"/>
      <c r="O947" s="976"/>
      <c r="P947" s="976"/>
      <c r="Q947" s="976"/>
      <c r="R947" s="976"/>
      <c r="S947" s="976"/>
      <c r="T947" s="976"/>
      <c r="U947" s="976"/>
      <c r="V947" s="976"/>
      <c r="W947" s="976"/>
      <c r="X947" s="976"/>
      <c r="Y947" s="976"/>
      <c r="Z947" s="976"/>
    </row>
    <row r="948" spans="1:26" ht="15" x14ac:dyDescent="0.25">
      <c r="A948" s="976"/>
      <c r="B948" s="976"/>
      <c r="C948" s="976"/>
      <c r="D948" s="976"/>
      <c r="E948" s="976"/>
      <c r="F948" s="976"/>
      <c r="G948" s="976"/>
      <c r="H948" s="976"/>
      <c r="I948" s="976"/>
      <c r="J948" s="976"/>
      <c r="K948" s="976"/>
      <c r="L948" s="976"/>
      <c r="M948" s="976"/>
      <c r="N948" s="976"/>
      <c r="O948" s="976"/>
      <c r="P948" s="976"/>
      <c r="Q948" s="976"/>
      <c r="R948" s="976"/>
      <c r="S948" s="976"/>
      <c r="T948" s="976"/>
      <c r="U948" s="976"/>
      <c r="V948" s="976"/>
      <c r="W948" s="976"/>
      <c r="X948" s="976"/>
      <c r="Y948" s="976"/>
      <c r="Z948" s="976"/>
    </row>
    <row r="949" spans="1:26" ht="15" x14ac:dyDescent="0.25">
      <c r="A949" s="976"/>
      <c r="B949" s="976"/>
      <c r="C949" s="976"/>
      <c r="D949" s="976"/>
      <c r="E949" s="976"/>
      <c r="F949" s="976"/>
      <c r="G949" s="976"/>
      <c r="H949" s="976"/>
      <c r="I949" s="976"/>
      <c r="J949" s="976"/>
      <c r="K949" s="976"/>
      <c r="L949" s="976"/>
      <c r="M949" s="976"/>
      <c r="N949" s="976"/>
      <c r="O949" s="976"/>
      <c r="P949" s="976"/>
      <c r="Q949" s="976"/>
      <c r="R949" s="976"/>
      <c r="S949" s="976"/>
      <c r="T949" s="976"/>
      <c r="U949" s="976"/>
      <c r="V949" s="976"/>
      <c r="W949" s="976"/>
      <c r="X949" s="976"/>
      <c r="Y949" s="976"/>
      <c r="Z949" s="976"/>
    </row>
    <row r="950" spans="1:26" ht="15" x14ac:dyDescent="0.25">
      <c r="A950" s="976"/>
      <c r="B950" s="976"/>
      <c r="C950" s="976"/>
      <c r="D950" s="976"/>
      <c r="E950" s="976"/>
      <c r="F950" s="976"/>
      <c r="G950" s="976"/>
      <c r="H950" s="976"/>
      <c r="I950" s="976"/>
      <c r="J950" s="976"/>
      <c r="K950" s="976"/>
      <c r="L950" s="976"/>
      <c r="M950" s="976"/>
      <c r="N950" s="976"/>
      <c r="O950" s="976"/>
      <c r="P950" s="976"/>
      <c r="Q950" s="976"/>
      <c r="R950" s="976"/>
      <c r="S950" s="976"/>
      <c r="T950" s="976"/>
      <c r="U950" s="976"/>
      <c r="V950" s="976"/>
      <c r="W950" s="976"/>
      <c r="X950" s="976"/>
      <c r="Y950" s="976"/>
      <c r="Z950" s="976"/>
    </row>
    <row r="951" spans="1:26" ht="15" x14ac:dyDescent="0.25">
      <c r="A951" s="976"/>
      <c r="B951" s="976"/>
      <c r="C951" s="976"/>
      <c r="D951" s="976"/>
      <c r="E951" s="976"/>
      <c r="F951" s="976"/>
      <c r="G951" s="976"/>
      <c r="H951" s="976"/>
      <c r="I951" s="976"/>
      <c r="J951" s="976"/>
      <c r="K951" s="976"/>
      <c r="L951" s="976"/>
      <c r="M951" s="976"/>
      <c r="N951" s="976"/>
      <c r="O951" s="976"/>
      <c r="P951" s="976"/>
      <c r="Q951" s="976"/>
      <c r="R951" s="976"/>
      <c r="S951" s="976"/>
      <c r="T951" s="976"/>
      <c r="U951" s="976"/>
      <c r="V951" s="976"/>
      <c r="W951" s="976"/>
      <c r="X951" s="976"/>
      <c r="Y951" s="976"/>
      <c r="Z951" s="976"/>
    </row>
    <row r="952" spans="1:26" ht="15" x14ac:dyDescent="0.25">
      <c r="A952" s="976"/>
      <c r="B952" s="976"/>
      <c r="C952" s="976"/>
      <c r="D952" s="976"/>
      <c r="E952" s="976"/>
      <c r="F952" s="976"/>
      <c r="G952" s="976"/>
      <c r="H952" s="976"/>
      <c r="I952" s="976"/>
      <c r="J952" s="976"/>
      <c r="K952" s="976"/>
      <c r="L952" s="976"/>
      <c r="M952" s="976"/>
      <c r="N952" s="976"/>
      <c r="O952" s="976"/>
      <c r="P952" s="976"/>
      <c r="Q952" s="976"/>
      <c r="R952" s="976"/>
      <c r="S952" s="976"/>
      <c r="T952" s="976"/>
      <c r="U952" s="976"/>
      <c r="V952" s="976"/>
      <c r="W952" s="976"/>
      <c r="X952" s="976"/>
      <c r="Y952" s="976"/>
      <c r="Z952" s="976"/>
    </row>
    <row r="953" spans="1:26" ht="15" x14ac:dyDescent="0.25">
      <c r="A953" s="976"/>
      <c r="B953" s="976"/>
      <c r="C953" s="976"/>
      <c r="D953" s="976"/>
      <c r="E953" s="976"/>
      <c r="F953" s="976"/>
      <c r="G953" s="976"/>
      <c r="H953" s="976"/>
      <c r="I953" s="976"/>
      <c r="J953" s="976"/>
      <c r="K953" s="976"/>
      <c r="L953" s="976"/>
      <c r="M953" s="976"/>
      <c r="N953" s="976"/>
      <c r="O953" s="976"/>
      <c r="P953" s="976"/>
      <c r="Q953" s="976"/>
      <c r="R953" s="976"/>
      <c r="S953" s="976"/>
      <c r="T953" s="976"/>
      <c r="U953" s="976"/>
      <c r="V953" s="976"/>
      <c r="W953" s="976"/>
      <c r="X953" s="976"/>
      <c r="Y953" s="976"/>
      <c r="Z953" s="976"/>
    </row>
    <row r="954" spans="1:26" ht="15" x14ac:dyDescent="0.25">
      <c r="A954" s="976"/>
      <c r="B954" s="976"/>
      <c r="C954" s="976"/>
      <c r="D954" s="976"/>
      <c r="E954" s="976"/>
      <c r="F954" s="976"/>
      <c r="G954" s="976"/>
      <c r="H954" s="976"/>
      <c r="I954" s="976"/>
      <c r="J954" s="976"/>
      <c r="K954" s="976"/>
      <c r="L954" s="976"/>
      <c r="M954" s="976"/>
      <c r="N954" s="976"/>
      <c r="O954" s="976"/>
      <c r="P954" s="976"/>
      <c r="Q954" s="976"/>
      <c r="R954" s="976"/>
      <c r="S954" s="976"/>
      <c r="T954" s="976"/>
      <c r="U954" s="976"/>
      <c r="V954" s="976"/>
      <c r="W954" s="976"/>
      <c r="X954" s="976"/>
      <c r="Y954" s="976"/>
      <c r="Z954" s="976"/>
    </row>
    <row r="955" spans="1:26" ht="15" x14ac:dyDescent="0.25">
      <c r="A955" s="976"/>
      <c r="B955" s="976"/>
      <c r="C955" s="976"/>
      <c r="D955" s="976"/>
      <c r="E955" s="976"/>
      <c r="F955" s="976"/>
      <c r="G955" s="976"/>
      <c r="H955" s="976"/>
      <c r="I955" s="976"/>
      <c r="J955" s="976"/>
      <c r="K955" s="976"/>
      <c r="L955" s="976"/>
      <c r="M955" s="976"/>
      <c r="N955" s="976"/>
      <c r="O955" s="976"/>
      <c r="P955" s="976"/>
      <c r="Q955" s="976"/>
      <c r="R955" s="976"/>
      <c r="S955" s="976"/>
      <c r="T955" s="976"/>
      <c r="U955" s="976"/>
      <c r="V955" s="976"/>
      <c r="W955" s="976"/>
      <c r="X955" s="976"/>
      <c r="Y955" s="976"/>
      <c r="Z955" s="976"/>
    </row>
    <row r="956" spans="1:26" ht="15" x14ac:dyDescent="0.25">
      <c r="A956" s="976"/>
      <c r="B956" s="976"/>
      <c r="C956" s="976"/>
      <c r="D956" s="976"/>
      <c r="E956" s="976"/>
      <c r="F956" s="976"/>
      <c r="G956" s="976"/>
      <c r="H956" s="976"/>
      <c r="I956" s="976"/>
      <c r="J956" s="976"/>
      <c r="K956" s="976"/>
      <c r="L956" s="976"/>
      <c r="M956" s="976"/>
      <c r="N956" s="976"/>
      <c r="O956" s="976"/>
      <c r="P956" s="976"/>
      <c r="Q956" s="976"/>
      <c r="R956" s="976"/>
      <c r="S956" s="976"/>
      <c r="T956" s="976"/>
      <c r="U956" s="976"/>
      <c r="V956" s="976"/>
      <c r="W956" s="976"/>
      <c r="X956" s="976"/>
      <c r="Y956" s="976"/>
      <c r="Z956" s="976"/>
    </row>
    <row r="957" spans="1:26" ht="15" x14ac:dyDescent="0.25">
      <c r="A957" s="976"/>
      <c r="B957" s="976"/>
      <c r="C957" s="976"/>
      <c r="D957" s="976"/>
      <c r="E957" s="976"/>
      <c r="F957" s="976"/>
      <c r="G957" s="976"/>
      <c r="H957" s="976"/>
      <c r="I957" s="976"/>
      <c r="J957" s="976"/>
      <c r="K957" s="976"/>
      <c r="L957" s="976"/>
      <c r="M957" s="976"/>
      <c r="N957" s="976"/>
      <c r="O957" s="976"/>
      <c r="P957" s="976"/>
      <c r="Q957" s="976"/>
      <c r="R957" s="976"/>
      <c r="S957" s="976"/>
      <c r="T957" s="976"/>
      <c r="U957" s="976"/>
      <c r="V957" s="976"/>
      <c r="W957" s="976"/>
      <c r="X957" s="976"/>
      <c r="Y957" s="976"/>
      <c r="Z957" s="976"/>
    </row>
    <row r="958" spans="1:26" ht="15" x14ac:dyDescent="0.25">
      <c r="A958" s="976"/>
      <c r="B958" s="976"/>
      <c r="C958" s="976"/>
      <c r="D958" s="976"/>
      <c r="E958" s="976"/>
      <c r="F958" s="976"/>
      <c r="G958" s="976"/>
      <c r="H958" s="976"/>
      <c r="I958" s="976"/>
      <c r="J958" s="976"/>
      <c r="K958" s="976"/>
      <c r="L958" s="976"/>
      <c r="M958" s="976"/>
      <c r="N958" s="976"/>
      <c r="O958" s="976"/>
      <c r="P958" s="976"/>
      <c r="Q958" s="976"/>
      <c r="R958" s="976"/>
      <c r="S958" s="976"/>
      <c r="T958" s="976"/>
      <c r="U958" s="976"/>
      <c r="V958" s="976"/>
      <c r="W958" s="976"/>
      <c r="X958" s="976"/>
      <c r="Y958" s="976"/>
      <c r="Z958" s="976"/>
    </row>
    <row r="959" spans="1:26" ht="15" x14ac:dyDescent="0.25">
      <c r="A959" s="976"/>
      <c r="B959" s="976"/>
      <c r="C959" s="976"/>
      <c r="D959" s="976"/>
      <c r="E959" s="976"/>
      <c r="F959" s="976"/>
      <c r="G959" s="976"/>
      <c r="H959" s="976"/>
      <c r="I959" s="976"/>
      <c r="J959" s="976"/>
      <c r="K959" s="976"/>
      <c r="L959" s="976"/>
      <c r="M959" s="976"/>
      <c r="N959" s="976"/>
      <c r="O959" s="976"/>
      <c r="P959" s="976"/>
      <c r="Q959" s="976"/>
      <c r="R959" s="976"/>
      <c r="S959" s="976"/>
      <c r="T959" s="976"/>
      <c r="U959" s="976"/>
      <c r="V959" s="976"/>
      <c r="W959" s="976"/>
      <c r="X959" s="976"/>
      <c r="Y959" s="976"/>
      <c r="Z959" s="976"/>
    </row>
    <row r="960" spans="1:26" ht="15" x14ac:dyDescent="0.25">
      <c r="A960" s="976"/>
      <c r="B960" s="976"/>
      <c r="C960" s="976"/>
      <c r="D960" s="976"/>
      <c r="E960" s="976"/>
      <c r="F960" s="976"/>
      <c r="G960" s="976"/>
      <c r="H960" s="976"/>
      <c r="I960" s="976"/>
      <c r="J960" s="976"/>
      <c r="K960" s="976"/>
      <c r="L960" s="976"/>
      <c r="M960" s="976"/>
      <c r="N960" s="976"/>
      <c r="O960" s="976"/>
      <c r="P960" s="976"/>
      <c r="Q960" s="976"/>
      <c r="R960" s="976"/>
      <c r="S960" s="976"/>
      <c r="T960" s="976"/>
      <c r="U960" s="976"/>
      <c r="V960" s="976"/>
      <c r="W960" s="976"/>
      <c r="X960" s="976"/>
      <c r="Y960" s="976"/>
      <c r="Z960" s="976"/>
    </row>
    <row r="961" spans="1:26" ht="15" x14ac:dyDescent="0.25">
      <c r="A961" s="976"/>
      <c r="B961" s="976"/>
      <c r="C961" s="976"/>
      <c r="D961" s="976"/>
      <c r="E961" s="976"/>
      <c r="F961" s="976"/>
      <c r="G961" s="976"/>
      <c r="H961" s="976"/>
      <c r="I961" s="976"/>
      <c r="J961" s="976"/>
      <c r="K961" s="976"/>
      <c r="L961" s="976"/>
      <c r="M961" s="976"/>
      <c r="N961" s="976"/>
      <c r="O961" s="976"/>
      <c r="P961" s="976"/>
      <c r="Q961" s="976"/>
      <c r="R961" s="976"/>
      <c r="S961" s="976"/>
      <c r="T961" s="976"/>
      <c r="U961" s="976"/>
      <c r="V961" s="976"/>
      <c r="W961" s="976"/>
      <c r="X961" s="976"/>
      <c r="Y961" s="976"/>
      <c r="Z961" s="976"/>
    </row>
    <row r="962" spans="1:26" ht="15" x14ac:dyDescent="0.25">
      <c r="A962" s="976"/>
      <c r="B962" s="976"/>
      <c r="C962" s="976"/>
      <c r="D962" s="976"/>
      <c r="E962" s="976"/>
      <c r="F962" s="976"/>
      <c r="G962" s="976"/>
      <c r="H962" s="976"/>
      <c r="I962" s="976"/>
      <c r="J962" s="976"/>
      <c r="K962" s="976"/>
      <c r="L962" s="976"/>
      <c r="M962" s="976"/>
      <c r="N962" s="976"/>
      <c r="O962" s="976"/>
      <c r="P962" s="976"/>
      <c r="Q962" s="976"/>
      <c r="R962" s="976"/>
      <c r="S962" s="976"/>
      <c r="T962" s="976"/>
      <c r="U962" s="976"/>
      <c r="V962" s="976"/>
      <c r="W962" s="976"/>
      <c r="X962" s="976"/>
      <c r="Y962" s="976"/>
      <c r="Z962" s="976"/>
    </row>
    <row r="963" spans="1:26" ht="15" x14ac:dyDescent="0.25">
      <c r="A963" s="976"/>
      <c r="B963" s="976"/>
      <c r="C963" s="976"/>
      <c r="D963" s="976"/>
      <c r="E963" s="976"/>
      <c r="F963" s="976"/>
      <c r="G963" s="976"/>
      <c r="H963" s="976"/>
      <c r="I963" s="976"/>
      <c r="J963" s="976"/>
      <c r="K963" s="976"/>
      <c r="L963" s="976"/>
      <c r="M963" s="976"/>
      <c r="N963" s="976"/>
      <c r="O963" s="976"/>
      <c r="P963" s="976"/>
      <c r="Q963" s="976"/>
      <c r="R963" s="976"/>
      <c r="S963" s="976"/>
      <c r="T963" s="976"/>
      <c r="U963" s="976"/>
      <c r="V963" s="976"/>
      <c r="W963" s="976"/>
      <c r="X963" s="976"/>
      <c r="Y963" s="976"/>
      <c r="Z963" s="976"/>
    </row>
    <row r="964" spans="1:26" ht="15" x14ac:dyDescent="0.25">
      <c r="A964" s="976"/>
      <c r="B964" s="976"/>
      <c r="C964" s="976"/>
      <c r="D964" s="976"/>
      <c r="E964" s="976"/>
      <c r="F964" s="976"/>
      <c r="G964" s="976"/>
      <c r="H964" s="976"/>
      <c r="I964" s="976"/>
      <c r="J964" s="976"/>
      <c r="K964" s="976"/>
      <c r="L964" s="976"/>
      <c r="M964" s="976"/>
      <c r="N964" s="976"/>
      <c r="O964" s="976"/>
      <c r="P964" s="976"/>
      <c r="Q964" s="976"/>
      <c r="R964" s="976"/>
      <c r="S964" s="976"/>
      <c r="T964" s="976"/>
      <c r="U964" s="976"/>
      <c r="V964" s="976"/>
      <c r="W964" s="976"/>
      <c r="X964" s="976"/>
      <c r="Y964" s="976"/>
      <c r="Z964" s="976"/>
    </row>
    <row r="965" spans="1:26" ht="15" x14ac:dyDescent="0.25">
      <c r="A965" s="976"/>
      <c r="B965" s="976"/>
      <c r="C965" s="976"/>
      <c r="D965" s="976"/>
      <c r="E965" s="976"/>
      <c r="F965" s="976"/>
      <c r="G965" s="976"/>
      <c r="H965" s="976"/>
      <c r="I965" s="976"/>
      <c r="J965" s="976"/>
      <c r="K965" s="976"/>
      <c r="L965" s="976"/>
      <c r="M965" s="976"/>
      <c r="N965" s="976"/>
      <c r="O965" s="976"/>
      <c r="P965" s="976"/>
      <c r="Q965" s="976"/>
      <c r="R965" s="976"/>
      <c r="S965" s="976"/>
      <c r="T965" s="976"/>
      <c r="U965" s="976"/>
      <c r="V965" s="976"/>
      <c r="W965" s="976"/>
      <c r="X965" s="976"/>
      <c r="Y965" s="976"/>
      <c r="Z965" s="976"/>
    </row>
    <row r="966" spans="1:26" ht="15" x14ac:dyDescent="0.25">
      <c r="A966" s="976"/>
      <c r="B966" s="976"/>
      <c r="C966" s="976"/>
      <c r="D966" s="976"/>
      <c r="E966" s="976"/>
      <c r="F966" s="976"/>
      <c r="G966" s="976"/>
      <c r="H966" s="976"/>
      <c r="I966" s="976"/>
      <c r="J966" s="976"/>
      <c r="K966" s="976"/>
      <c r="L966" s="976"/>
      <c r="M966" s="976"/>
      <c r="N966" s="976"/>
      <c r="O966" s="976"/>
      <c r="P966" s="976"/>
      <c r="Q966" s="976"/>
      <c r="R966" s="976"/>
      <c r="S966" s="976"/>
      <c r="T966" s="976"/>
      <c r="U966" s="976"/>
      <c r="V966" s="976"/>
      <c r="W966" s="976"/>
      <c r="X966" s="976"/>
      <c r="Y966" s="976"/>
      <c r="Z966" s="976"/>
    </row>
    <row r="967" spans="1:26" ht="15" x14ac:dyDescent="0.25">
      <c r="A967" s="976"/>
      <c r="B967" s="976"/>
      <c r="C967" s="976"/>
      <c r="D967" s="976"/>
      <c r="E967" s="976"/>
      <c r="F967" s="976"/>
      <c r="G967" s="976"/>
      <c r="H967" s="976"/>
      <c r="I967" s="976"/>
      <c r="J967" s="976"/>
      <c r="K967" s="976"/>
      <c r="L967" s="976"/>
      <c r="M967" s="976"/>
      <c r="N967" s="976"/>
      <c r="O967" s="976"/>
      <c r="P967" s="976"/>
      <c r="Q967" s="976"/>
      <c r="R967" s="976"/>
      <c r="S967" s="976"/>
      <c r="T967" s="976"/>
      <c r="U967" s="976"/>
      <c r="V967" s="976"/>
      <c r="W967" s="976"/>
      <c r="X967" s="976"/>
      <c r="Y967" s="976"/>
      <c r="Z967" s="976"/>
    </row>
    <row r="968" spans="1:26" ht="15" x14ac:dyDescent="0.25">
      <c r="A968" s="976"/>
      <c r="B968" s="976"/>
      <c r="C968" s="976"/>
      <c r="D968" s="976"/>
      <c r="E968" s="976"/>
      <c r="F968" s="976"/>
      <c r="G968" s="976"/>
      <c r="H968" s="976"/>
      <c r="I968" s="976"/>
      <c r="J968" s="976"/>
      <c r="K968" s="976"/>
      <c r="L968" s="976"/>
      <c r="M968" s="976"/>
      <c r="N968" s="976"/>
      <c r="O968" s="976"/>
      <c r="P968" s="976"/>
      <c r="Q968" s="976"/>
      <c r="R968" s="976"/>
      <c r="S968" s="976"/>
      <c r="T968" s="976"/>
      <c r="U968" s="976"/>
      <c r="V968" s="976"/>
      <c r="W968" s="976"/>
      <c r="X968" s="976"/>
      <c r="Y968" s="976"/>
      <c r="Z968" s="976"/>
    </row>
    <row r="969" spans="1:26" ht="15" x14ac:dyDescent="0.25">
      <c r="A969" s="976"/>
      <c r="B969" s="976"/>
      <c r="C969" s="976"/>
      <c r="D969" s="976"/>
      <c r="E969" s="976"/>
      <c r="F969" s="976"/>
      <c r="G969" s="976"/>
      <c r="H969" s="976"/>
      <c r="I969" s="976"/>
      <c r="J969" s="976"/>
      <c r="K969" s="976"/>
      <c r="L969" s="976"/>
      <c r="M969" s="976"/>
      <c r="N969" s="976"/>
      <c r="O969" s="976"/>
      <c r="P969" s="976"/>
      <c r="Q969" s="976"/>
      <c r="R969" s="976"/>
      <c r="S969" s="976"/>
      <c r="T969" s="976"/>
      <c r="U969" s="976"/>
      <c r="V969" s="976"/>
      <c r="W969" s="976"/>
      <c r="X969" s="976"/>
      <c r="Y969" s="976"/>
      <c r="Z969" s="976"/>
    </row>
    <row r="970" spans="1:26" ht="15" x14ac:dyDescent="0.25">
      <c r="A970" s="976"/>
      <c r="B970" s="976"/>
      <c r="C970" s="976"/>
      <c r="D970" s="976"/>
      <c r="E970" s="976"/>
      <c r="F970" s="976"/>
      <c r="G970" s="976"/>
      <c r="H970" s="976"/>
      <c r="I970" s="976"/>
      <c r="J970" s="976"/>
      <c r="K970" s="976"/>
      <c r="L970" s="976"/>
      <c r="M970" s="976"/>
      <c r="N970" s="976"/>
      <c r="O970" s="976"/>
      <c r="P970" s="976"/>
      <c r="Q970" s="976"/>
      <c r="R970" s="976"/>
      <c r="S970" s="976"/>
      <c r="T970" s="976"/>
      <c r="U970" s="976"/>
      <c r="V970" s="976"/>
      <c r="W970" s="976"/>
      <c r="X970" s="976"/>
      <c r="Y970" s="976"/>
      <c r="Z970" s="976"/>
    </row>
    <row r="971" spans="1:26" ht="15" x14ac:dyDescent="0.25">
      <c r="A971" s="976"/>
      <c r="B971" s="976"/>
      <c r="C971" s="976"/>
      <c r="D971" s="976"/>
      <c r="E971" s="976"/>
      <c r="F971" s="976"/>
      <c r="G971" s="976"/>
      <c r="H971" s="976"/>
      <c r="I971" s="976"/>
      <c r="J971" s="976"/>
      <c r="K971" s="976"/>
      <c r="L971" s="976"/>
      <c r="M971" s="976"/>
      <c r="N971" s="976"/>
      <c r="O971" s="976"/>
      <c r="P971" s="976"/>
      <c r="Q971" s="976"/>
      <c r="R971" s="976"/>
      <c r="S971" s="976"/>
      <c r="T971" s="976"/>
      <c r="U971" s="976"/>
      <c r="V971" s="976"/>
      <c r="W971" s="976"/>
      <c r="X971" s="976"/>
      <c r="Y971" s="976"/>
      <c r="Z971" s="976"/>
    </row>
    <row r="972" spans="1:26" ht="15" x14ac:dyDescent="0.25">
      <c r="A972" s="976"/>
      <c r="B972" s="976"/>
      <c r="C972" s="976"/>
      <c r="D972" s="976"/>
      <c r="E972" s="976"/>
      <c r="F972" s="976"/>
      <c r="G972" s="976"/>
      <c r="H972" s="976"/>
      <c r="I972" s="976"/>
      <c r="J972" s="976"/>
      <c r="K972" s="976"/>
      <c r="L972" s="976"/>
      <c r="M972" s="976"/>
      <c r="N972" s="976"/>
      <c r="O972" s="976"/>
      <c r="P972" s="976"/>
      <c r="Q972" s="976"/>
      <c r="R972" s="976"/>
      <c r="S972" s="976"/>
      <c r="T972" s="976"/>
      <c r="U972" s="976"/>
      <c r="V972" s="976"/>
      <c r="W972" s="976"/>
      <c r="X972" s="976"/>
      <c r="Y972" s="976"/>
      <c r="Z972" s="976"/>
    </row>
    <row r="973" spans="1:26" ht="15" x14ac:dyDescent="0.25">
      <c r="A973" s="976"/>
      <c r="B973" s="976"/>
      <c r="C973" s="976"/>
      <c r="D973" s="976"/>
      <c r="E973" s="976"/>
      <c r="F973" s="976"/>
      <c r="G973" s="976"/>
      <c r="H973" s="976"/>
      <c r="I973" s="976"/>
      <c r="J973" s="976"/>
      <c r="K973" s="976"/>
      <c r="L973" s="976"/>
      <c r="M973" s="976"/>
      <c r="N973" s="976"/>
      <c r="O973" s="976"/>
      <c r="P973" s="976"/>
      <c r="Q973" s="976"/>
      <c r="R973" s="976"/>
      <c r="S973" s="976"/>
      <c r="T973" s="976"/>
      <c r="U973" s="976"/>
      <c r="V973" s="976"/>
      <c r="W973" s="976"/>
      <c r="X973" s="976"/>
      <c r="Y973" s="976"/>
      <c r="Z973" s="976"/>
    </row>
    <row r="974" spans="1:26" ht="15" x14ac:dyDescent="0.25">
      <c r="A974" s="976"/>
      <c r="B974" s="976"/>
      <c r="C974" s="976"/>
      <c r="D974" s="976"/>
      <c r="E974" s="976"/>
      <c r="F974" s="976"/>
      <c r="G974" s="976"/>
      <c r="H974" s="976"/>
      <c r="I974" s="976"/>
      <c r="J974" s="976"/>
      <c r="K974" s="976"/>
      <c r="L974" s="976"/>
      <c r="M974" s="976"/>
      <c r="N974" s="976"/>
      <c r="O974" s="976"/>
      <c r="P974" s="976"/>
      <c r="Q974" s="976"/>
      <c r="R974" s="976"/>
      <c r="S974" s="976"/>
      <c r="T974" s="976"/>
      <c r="U974" s="976"/>
      <c r="V974" s="976"/>
      <c r="W974" s="976"/>
      <c r="X974" s="976"/>
      <c r="Y974" s="976"/>
      <c r="Z974" s="976"/>
    </row>
    <row r="975" spans="1:26" ht="15" x14ac:dyDescent="0.25">
      <c r="A975" s="976"/>
      <c r="B975" s="976"/>
      <c r="C975" s="976"/>
      <c r="D975" s="976"/>
      <c r="E975" s="976"/>
      <c r="F975" s="976"/>
      <c r="G975" s="976"/>
      <c r="H975" s="976"/>
      <c r="I975" s="976"/>
      <c r="J975" s="976"/>
      <c r="K975" s="976"/>
      <c r="L975" s="976"/>
      <c r="M975" s="976"/>
      <c r="N975" s="976"/>
      <c r="O975" s="976"/>
      <c r="P975" s="976"/>
      <c r="Q975" s="976"/>
      <c r="R975" s="976"/>
      <c r="S975" s="976"/>
      <c r="T975" s="976"/>
      <c r="U975" s="976"/>
      <c r="V975" s="976"/>
      <c r="W975" s="976"/>
      <c r="X975" s="976"/>
      <c r="Y975" s="976"/>
      <c r="Z975" s="976"/>
    </row>
    <row r="976" spans="1:26" ht="15" x14ac:dyDescent="0.25">
      <c r="A976" s="976"/>
      <c r="B976" s="976"/>
      <c r="C976" s="976"/>
      <c r="D976" s="976"/>
      <c r="E976" s="976"/>
      <c r="F976" s="976"/>
      <c r="G976" s="976"/>
      <c r="H976" s="976"/>
      <c r="I976" s="976"/>
      <c r="J976" s="976"/>
      <c r="K976" s="976"/>
      <c r="L976" s="976"/>
      <c r="M976" s="976"/>
      <c r="N976" s="976"/>
      <c r="O976" s="976"/>
      <c r="P976" s="976"/>
      <c r="Q976" s="976"/>
      <c r="R976" s="976"/>
      <c r="S976" s="976"/>
      <c r="T976" s="976"/>
      <c r="U976" s="976"/>
      <c r="V976" s="976"/>
      <c r="W976" s="976"/>
      <c r="X976" s="976"/>
      <c r="Y976" s="976"/>
      <c r="Z976" s="976"/>
    </row>
    <row r="977" spans="1:26" ht="15" x14ac:dyDescent="0.25">
      <c r="A977" s="976"/>
      <c r="B977" s="976"/>
      <c r="C977" s="976"/>
      <c r="D977" s="976"/>
      <c r="E977" s="976"/>
      <c r="F977" s="976"/>
      <c r="G977" s="976"/>
      <c r="H977" s="976"/>
      <c r="I977" s="976"/>
      <c r="J977" s="976"/>
      <c r="K977" s="976"/>
      <c r="L977" s="976"/>
      <c r="M977" s="976"/>
      <c r="N977" s="976"/>
      <c r="O977" s="976"/>
      <c r="P977" s="976"/>
      <c r="Q977" s="976"/>
      <c r="R977" s="976"/>
      <c r="S977" s="976"/>
      <c r="T977" s="976"/>
      <c r="U977" s="976"/>
      <c r="V977" s="976"/>
      <c r="W977" s="976"/>
      <c r="X977" s="976"/>
      <c r="Y977" s="976"/>
      <c r="Z977" s="976"/>
    </row>
    <row r="978" spans="1:26" ht="15" x14ac:dyDescent="0.25">
      <c r="A978" s="976"/>
      <c r="B978" s="976"/>
      <c r="C978" s="976"/>
      <c r="D978" s="976"/>
      <c r="E978" s="976"/>
      <c r="F978" s="976"/>
      <c r="G978" s="976"/>
      <c r="H978" s="976"/>
      <c r="I978" s="976"/>
      <c r="J978" s="976"/>
      <c r="K978" s="976"/>
      <c r="L978" s="976"/>
      <c r="M978" s="976"/>
      <c r="N978" s="976"/>
      <c r="O978" s="976"/>
      <c r="P978" s="976"/>
      <c r="Q978" s="976"/>
      <c r="R978" s="976"/>
      <c r="S978" s="976"/>
      <c r="T978" s="976"/>
      <c r="U978" s="976"/>
      <c r="V978" s="976"/>
      <c r="W978" s="976"/>
      <c r="X978" s="976"/>
      <c r="Y978" s="976"/>
      <c r="Z978" s="976"/>
    </row>
    <row r="979" spans="1:26" ht="15" x14ac:dyDescent="0.25">
      <c r="A979" s="976"/>
      <c r="B979" s="976"/>
      <c r="C979" s="976"/>
      <c r="D979" s="976"/>
      <c r="E979" s="976"/>
      <c r="F979" s="976"/>
      <c r="G979" s="976"/>
      <c r="H979" s="976"/>
      <c r="I979" s="976"/>
      <c r="J979" s="976"/>
      <c r="K979" s="976"/>
      <c r="L979" s="976"/>
      <c r="M979" s="976"/>
      <c r="N979" s="976"/>
      <c r="O979" s="976"/>
      <c r="P979" s="976"/>
      <c r="Q979" s="976"/>
      <c r="R979" s="976"/>
      <c r="S979" s="976"/>
      <c r="T979" s="976"/>
      <c r="U979" s="976"/>
      <c r="V979" s="976"/>
      <c r="W979" s="976"/>
      <c r="X979" s="976"/>
      <c r="Y979" s="976"/>
      <c r="Z979" s="976"/>
    </row>
    <row r="980" spans="1:26" ht="15" x14ac:dyDescent="0.25">
      <c r="A980" s="976"/>
      <c r="B980" s="976"/>
      <c r="C980" s="976"/>
      <c r="D980" s="976"/>
      <c r="E980" s="976"/>
      <c r="F980" s="976"/>
      <c r="G980" s="976"/>
      <c r="H980" s="976"/>
      <c r="I980" s="976"/>
      <c r="J980" s="976"/>
      <c r="K980" s="976"/>
      <c r="L980" s="976"/>
      <c r="M980" s="976"/>
      <c r="N980" s="976"/>
      <c r="O980" s="976"/>
      <c r="P980" s="976"/>
      <c r="Q980" s="976"/>
      <c r="R980" s="976"/>
      <c r="S980" s="976"/>
      <c r="T980" s="976"/>
      <c r="U980" s="976"/>
      <c r="V980" s="976"/>
      <c r="W980" s="976"/>
      <c r="X980" s="976"/>
      <c r="Y980" s="976"/>
      <c r="Z980" s="976"/>
    </row>
    <row r="981" spans="1:26" ht="15" x14ac:dyDescent="0.25">
      <c r="A981" s="976"/>
      <c r="B981" s="976"/>
      <c r="C981" s="976"/>
      <c r="D981" s="976"/>
      <c r="E981" s="976"/>
      <c r="F981" s="976"/>
      <c r="G981" s="976"/>
      <c r="H981" s="976"/>
      <c r="I981" s="976"/>
      <c r="J981" s="976"/>
      <c r="K981" s="976"/>
      <c r="L981" s="976"/>
      <c r="M981" s="976"/>
      <c r="N981" s="976"/>
      <c r="O981" s="976"/>
      <c r="P981" s="976"/>
      <c r="Q981" s="976"/>
      <c r="R981" s="976"/>
      <c r="S981" s="976"/>
      <c r="T981" s="976"/>
      <c r="U981" s="976"/>
      <c r="V981" s="976"/>
      <c r="W981" s="976"/>
      <c r="X981" s="976"/>
      <c r="Y981" s="976"/>
      <c r="Z981" s="976"/>
    </row>
    <row r="982" spans="1:26" ht="15" x14ac:dyDescent="0.25">
      <c r="A982" s="976"/>
      <c r="B982" s="976"/>
      <c r="C982" s="976"/>
      <c r="D982" s="976"/>
      <c r="E982" s="976"/>
      <c r="F982" s="976"/>
      <c r="G982" s="976"/>
      <c r="H982" s="976"/>
      <c r="I982" s="976"/>
      <c r="J982" s="976"/>
      <c r="K982" s="976"/>
      <c r="L982" s="976"/>
      <c r="M982" s="976"/>
      <c r="N982" s="976"/>
      <c r="O982" s="976"/>
      <c r="P982" s="976"/>
      <c r="Q982" s="976"/>
      <c r="R982" s="976"/>
      <c r="S982" s="976"/>
      <c r="T982" s="976"/>
      <c r="U982" s="976"/>
      <c r="V982" s="976"/>
      <c r="W982" s="976"/>
      <c r="X982" s="976"/>
      <c r="Y982" s="976"/>
      <c r="Z982" s="976"/>
    </row>
    <row r="983" spans="1:26" ht="15" x14ac:dyDescent="0.25">
      <c r="A983" s="976"/>
      <c r="B983" s="976"/>
      <c r="C983" s="976"/>
      <c r="D983" s="976"/>
      <c r="E983" s="976"/>
      <c r="F983" s="976"/>
      <c r="G983" s="976"/>
      <c r="H983" s="976"/>
      <c r="I983" s="976"/>
      <c r="J983" s="976"/>
      <c r="K983" s="976"/>
      <c r="L983" s="976"/>
      <c r="M983" s="976"/>
      <c r="N983" s="976"/>
      <c r="O983" s="976"/>
      <c r="P983" s="976"/>
      <c r="Q983" s="976"/>
      <c r="R983" s="976"/>
      <c r="S983" s="976"/>
      <c r="T983" s="976"/>
      <c r="U983" s="976"/>
      <c r="V983" s="976"/>
      <c r="W983" s="976"/>
      <c r="X983" s="976"/>
      <c r="Y983" s="976"/>
      <c r="Z983" s="976"/>
    </row>
    <row r="984" spans="1:26" ht="15" x14ac:dyDescent="0.25">
      <c r="A984" s="976"/>
      <c r="B984" s="976"/>
      <c r="C984" s="976"/>
      <c r="D984" s="976"/>
      <c r="E984" s="976"/>
      <c r="F984" s="976"/>
      <c r="G984" s="976"/>
      <c r="H984" s="976"/>
      <c r="I984" s="976"/>
      <c r="J984" s="976"/>
      <c r="K984" s="976"/>
      <c r="L984" s="976"/>
      <c r="M984" s="976"/>
      <c r="N984" s="976"/>
      <c r="O984" s="976"/>
      <c r="P984" s="976"/>
      <c r="Q984" s="976"/>
      <c r="R984" s="976"/>
      <c r="S984" s="976"/>
      <c r="T984" s="976"/>
      <c r="U984" s="976"/>
      <c r="V984" s="976"/>
      <c r="W984" s="976"/>
      <c r="X984" s="976"/>
      <c r="Y984" s="976"/>
      <c r="Z984" s="976"/>
    </row>
    <row r="985" spans="1:26" ht="15" x14ac:dyDescent="0.25">
      <c r="A985" s="976"/>
      <c r="B985" s="976"/>
      <c r="C985" s="976"/>
      <c r="D985" s="976"/>
      <c r="E985" s="976"/>
      <c r="F985" s="976"/>
      <c r="G985" s="976"/>
      <c r="H985" s="976"/>
      <c r="I985" s="976"/>
      <c r="J985" s="976"/>
      <c r="K985" s="976"/>
      <c r="L985" s="976"/>
      <c r="M985" s="976"/>
      <c r="N985" s="976"/>
      <c r="O985" s="976"/>
      <c r="P985" s="976"/>
      <c r="Q985" s="976"/>
      <c r="R985" s="976"/>
      <c r="S985" s="976"/>
      <c r="T985" s="976"/>
      <c r="U985" s="976"/>
      <c r="V985" s="976"/>
      <c r="W985" s="976"/>
      <c r="X985" s="976"/>
      <c r="Y985" s="976"/>
      <c r="Z985" s="976"/>
    </row>
    <row r="986" spans="1:26" ht="15" x14ac:dyDescent="0.25">
      <c r="A986" s="976"/>
      <c r="B986" s="976"/>
      <c r="C986" s="976"/>
      <c r="D986" s="976"/>
      <c r="E986" s="976"/>
      <c r="F986" s="976"/>
      <c r="G986" s="976"/>
      <c r="H986" s="976"/>
      <c r="I986" s="976"/>
      <c r="J986" s="976"/>
      <c r="K986" s="976"/>
      <c r="L986" s="976"/>
      <c r="M986" s="976"/>
      <c r="N986" s="976"/>
      <c r="O986" s="976"/>
      <c r="P986" s="976"/>
      <c r="Q986" s="976"/>
      <c r="R986" s="976"/>
      <c r="S986" s="976"/>
      <c r="T986" s="976"/>
      <c r="U986" s="976"/>
      <c r="V986" s="976"/>
      <c r="W986" s="976"/>
      <c r="X986" s="976"/>
      <c r="Y986" s="976"/>
      <c r="Z986" s="976"/>
    </row>
    <row r="987" spans="1:26" ht="15" x14ac:dyDescent="0.25">
      <c r="A987" s="976"/>
      <c r="B987" s="976"/>
      <c r="C987" s="976"/>
      <c r="D987" s="976"/>
      <c r="E987" s="976"/>
      <c r="F987" s="976"/>
      <c r="G987" s="976"/>
      <c r="H987" s="976"/>
      <c r="I987" s="976"/>
      <c r="J987" s="976"/>
      <c r="K987" s="976"/>
      <c r="L987" s="976"/>
      <c r="M987" s="976"/>
      <c r="N987" s="976"/>
      <c r="O987" s="976"/>
      <c r="P987" s="976"/>
      <c r="Q987" s="976"/>
      <c r="R987" s="976"/>
      <c r="S987" s="976"/>
      <c r="T987" s="976"/>
      <c r="U987" s="976"/>
      <c r="V987" s="976"/>
      <c r="W987" s="976"/>
      <c r="X987" s="976"/>
      <c r="Y987" s="976"/>
      <c r="Z987" s="976"/>
    </row>
    <row r="988" spans="1:26" ht="15" x14ac:dyDescent="0.25">
      <c r="A988" s="976"/>
      <c r="B988" s="976"/>
      <c r="C988" s="976"/>
      <c r="D988" s="976"/>
      <c r="E988" s="976"/>
      <c r="F988" s="976"/>
      <c r="G988" s="976"/>
      <c r="H988" s="976"/>
      <c r="I988" s="976"/>
      <c r="J988" s="976"/>
      <c r="K988" s="976"/>
      <c r="L988" s="976"/>
      <c r="M988" s="976"/>
      <c r="N988" s="976"/>
      <c r="O988" s="976"/>
      <c r="P988" s="976"/>
      <c r="Q988" s="976"/>
      <c r="R988" s="976"/>
      <c r="S988" s="976"/>
      <c r="T988" s="976"/>
      <c r="U988" s="976"/>
      <c r="V988" s="976"/>
      <c r="W988" s="976"/>
      <c r="X988" s="976"/>
      <c r="Y988" s="976"/>
      <c r="Z988" s="976"/>
    </row>
    <row r="989" spans="1:26" ht="15" x14ac:dyDescent="0.25">
      <c r="A989" s="976"/>
      <c r="B989" s="976"/>
      <c r="C989" s="976"/>
      <c r="D989" s="976"/>
      <c r="E989" s="976"/>
      <c r="F989" s="976"/>
      <c r="G989" s="976"/>
      <c r="H989" s="976"/>
      <c r="I989" s="976"/>
      <c r="J989" s="976"/>
      <c r="K989" s="976"/>
      <c r="L989" s="976"/>
      <c r="M989" s="976"/>
      <c r="N989" s="976"/>
      <c r="O989" s="976"/>
      <c r="P989" s="976"/>
      <c r="Q989" s="976"/>
      <c r="R989" s="976"/>
      <c r="S989" s="976"/>
      <c r="T989" s="976"/>
      <c r="U989" s="976"/>
      <c r="V989" s="976"/>
      <c r="W989" s="976"/>
      <c r="X989" s="976"/>
      <c r="Y989" s="976"/>
      <c r="Z989" s="976"/>
    </row>
    <row r="990" spans="1:26" ht="15" x14ac:dyDescent="0.25">
      <c r="A990" s="976"/>
      <c r="B990" s="976"/>
      <c r="C990" s="976"/>
      <c r="D990" s="976"/>
      <c r="E990" s="976"/>
      <c r="F990" s="976"/>
      <c r="G990" s="976"/>
      <c r="H990" s="976"/>
      <c r="I990" s="976"/>
      <c r="J990" s="976"/>
      <c r="K990" s="976"/>
      <c r="L990" s="976"/>
      <c r="M990" s="976"/>
      <c r="N990" s="976"/>
      <c r="O990" s="976"/>
      <c r="P990" s="976"/>
      <c r="Q990" s="976"/>
      <c r="R990" s="976"/>
      <c r="S990" s="976"/>
      <c r="T990" s="976"/>
      <c r="U990" s="976"/>
      <c r="V990" s="976"/>
      <c r="W990" s="976"/>
      <c r="X990" s="976"/>
      <c r="Y990" s="976"/>
      <c r="Z990" s="976"/>
    </row>
    <row r="991" spans="1:26" ht="15" x14ac:dyDescent="0.25">
      <c r="A991" s="976"/>
      <c r="B991" s="976"/>
      <c r="C991" s="976"/>
      <c r="D991" s="976"/>
      <c r="E991" s="976"/>
      <c r="F991" s="976"/>
      <c r="G991" s="976"/>
      <c r="H991" s="976"/>
      <c r="I991" s="976"/>
      <c r="J991" s="976"/>
      <c r="K991" s="976"/>
      <c r="L991" s="976"/>
      <c r="M991" s="976"/>
      <c r="N991" s="976"/>
      <c r="O991" s="976"/>
      <c r="P991" s="976"/>
      <c r="Q991" s="976"/>
      <c r="R991" s="976"/>
      <c r="S991" s="976"/>
      <c r="T991" s="976"/>
      <c r="U991" s="976"/>
      <c r="V991" s="976"/>
      <c r="W991" s="976"/>
      <c r="X991" s="976"/>
      <c r="Y991" s="976"/>
      <c r="Z991" s="976"/>
    </row>
    <row r="992" spans="1:26" ht="15" x14ac:dyDescent="0.25">
      <c r="A992" s="976"/>
      <c r="B992" s="976"/>
      <c r="C992" s="976"/>
      <c r="D992" s="976"/>
      <c r="E992" s="976"/>
      <c r="F992" s="976"/>
      <c r="G992" s="976"/>
      <c r="H992" s="976"/>
      <c r="I992" s="976"/>
      <c r="J992" s="976"/>
      <c r="K992" s="976"/>
      <c r="L992" s="976"/>
      <c r="M992" s="976"/>
      <c r="N992" s="976"/>
      <c r="O992" s="976"/>
      <c r="P992" s="976"/>
      <c r="Q992" s="976"/>
      <c r="R992" s="976"/>
      <c r="S992" s="976"/>
      <c r="T992" s="976"/>
      <c r="U992" s="976"/>
      <c r="V992" s="976"/>
      <c r="W992" s="976"/>
      <c r="X992" s="976"/>
      <c r="Y992" s="976"/>
      <c r="Z992" s="976"/>
    </row>
    <row r="993" spans="1:26" ht="15" x14ac:dyDescent="0.25">
      <c r="A993" s="976"/>
      <c r="B993" s="976"/>
      <c r="C993" s="976"/>
      <c r="D993" s="976"/>
      <c r="E993" s="976"/>
      <c r="F993" s="976"/>
      <c r="G993" s="976"/>
      <c r="H993" s="976"/>
      <c r="I993" s="976"/>
      <c r="J993" s="976"/>
      <c r="K993" s="976"/>
      <c r="L993" s="976"/>
      <c r="M993" s="976"/>
      <c r="N993" s="976"/>
      <c r="O993" s="976"/>
      <c r="P993" s="976"/>
      <c r="Q993" s="976"/>
      <c r="R993" s="976"/>
      <c r="S993" s="976"/>
      <c r="T993" s="976"/>
      <c r="U993" s="976"/>
      <c r="V993" s="976"/>
      <c r="W993" s="976"/>
      <c r="X993" s="976"/>
      <c r="Y993" s="976"/>
      <c r="Z993" s="976"/>
    </row>
    <row r="994" spans="1:26" ht="15" x14ac:dyDescent="0.25">
      <c r="A994" s="976"/>
      <c r="B994" s="976"/>
      <c r="C994" s="976"/>
      <c r="D994" s="976"/>
      <c r="E994" s="976"/>
      <c r="F994" s="976"/>
      <c r="G994" s="976"/>
      <c r="H994" s="976"/>
      <c r="I994" s="976"/>
      <c r="J994" s="976"/>
      <c r="K994" s="976"/>
      <c r="L994" s="976"/>
      <c r="M994" s="976"/>
      <c r="N994" s="976"/>
      <c r="O994" s="976"/>
      <c r="P994" s="976"/>
      <c r="Q994" s="976"/>
      <c r="R994" s="976"/>
      <c r="S994" s="976"/>
      <c r="T994" s="976"/>
      <c r="U994" s="976"/>
      <c r="V994" s="976"/>
      <c r="W994" s="976"/>
      <c r="X994" s="976"/>
      <c r="Y994" s="976"/>
      <c r="Z994" s="976"/>
    </row>
    <row r="995" spans="1:26" ht="15" x14ac:dyDescent="0.25">
      <c r="A995" s="976"/>
      <c r="B995" s="976"/>
      <c r="C995" s="976"/>
      <c r="D995" s="976"/>
      <c r="E995" s="976"/>
      <c r="F995" s="976"/>
      <c r="G995" s="976"/>
      <c r="H995" s="976"/>
      <c r="I995" s="976"/>
      <c r="J995" s="976"/>
      <c r="K995" s="976"/>
      <c r="L995" s="976"/>
      <c r="M995" s="976"/>
      <c r="N995" s="976"/>
      <c r="O995" s="976"/>
      <c r="P995" s="976"/>
      <c r="Q995" s="976"/>
      <c r="R995" s="976"/>
      <c r="S995" s="976"/>
      <c r="T995" s="976"/>
      <c r="U995" s="976"/>
      <c r="V995" s="976"/>
      <c r="W995" s="976"/>
      <c r="X995" s="976"/>
      <c r="Y995" s="976"/>
      <c r="Z995" s="976"/>
    </row>
    <row r="996" spans="1:26" ht="15" x14ac:dyDescent="0.25">
      <c r="A996" s="976"/>
      <c r="B996" s="976"/>
      <c r="C996" s="976"/>
      <c r="D996" s="976"/>
      <c r="E996" s="976"/>
      <c r="F996" s="976"/>
      <c r="G996" s="976"/>
      <c r="H996" s="976"/>
      <c r="I996" s="976"/>
      <c r="J996" s="976"/>
      <c r="K996" s="976"/>
      <c r="L996" s="976"/>
      <c r="M996" s="976"/>
      <c r="N996" s="976"/>
      <c r="O996" s="976"/>
      <c r="P996" s="976"/>
      <c r="Q996" s="976"/>
      <c r="R996" s="976"/>
      <c r="S996" s="976"/>
      <c r="T996" s="976"/>
      <c r="U996" s="976"/>
      <c r="V996" s="976"/>
      <c r="W996" s="976"/>
      <c r="X996" s="976"/>
      <c r="Y996" s="976"/>
      <c r="Z996" s="976"/>
    </row>
    <row r="997" spans="1:26" ht="15" x14ac:dyDescent="0.25">
      <c r="A997" s="976"/>
      <c r="B997" s="976"/>
      <c r="C997" s="976"/>
      <c r="D997" s="976"/>
      <c r="E997" s="976"/>
      <c r="F997" s="976"/>
      <c r="G997" s="976"/>
      <c r="H997" s="976"/>
      <c r="I997" s="976"/>
      <c r="J997" s="976"/>
      <c r="K997" s="976"/>
      <c r="L997" s="976"/>
      <c r="M997" s="976"/>
      <c r="N997" s="976"/>
      <c r="O997" s="976"/>
      <c r="P997" s="976"/>
      <c r="Q997" s="976"/>
      <c r="R997" s="976"/>
      <c r="S997" s="976"/>
      <c r="T997" s="976"/>
      <c r="U997" s="976"/>
      <c r="V997" s="976"/>
      <c r="W997" s="976"/>
      <c r="X997" s="976"/>
      <c r="Y997" s="976"/>
      <c r="Z997" s="976"/>
    </row>
    <row r="998" spans="1:26" ht="15" x14ac:dyDescent="0.25">
      <c r="A998" s="976"/>
      <c r="B998" s="976"/>
      <c r="C998" s="976"/>
      <c r="D998" s="976"/>
      <c r="E998" s="976"/>
      <c r="F998" s="976"/>
      <c r="G998" s="976"/>
      <c r="H998" s="976"/>
      <c r="I998" s="976"/>
      <c r="J998" s="976"/>
      <c r="K998" s="976"/>
      <c r="L998" s="976"/>
      <c r="M998" s="976"/>
      <c r="N998" s="976"/>
      <c r="O998" s="976"/>
      <c r="P998" s="976"/>
      <c r="Q998" s="976"/>
      <c r="R998" s="976"/>
      <c r="S998" s="976"/>
      <c r="T998" s="976"/>
      <c r="U998" s="976"/>
      <c r="V998" s="976"/>
      <c r="W998" s="976"/>
      <c r="X998" s="976"/>
      <c r="Y998" s="976"/>
      <c r="Z998" s="976"/>
    </row>
    <row r="999" spans="1:26" ht="15" x14ac:dyDescent="0.25">
      <c r="A999" s="976"/>
      <c r="B999" s="976"/>
      <c r="C999" s="976"/>
      <c r="D999" s="976"/>
      <c r="E999" s="976"/>
      <c r="F999" s="976"/>
      <c r="G999" s="976"/>
      <c r="H999" s="976"/>
      <c r="I999" s="976"/>
      <c r="J999" s="976"/>
      <c r="K999" s="976"/>
      <c r="L999" s="976"/>
      <c r="M999" s="976"/>
      <c r="N999" s="976"/>
      <c r="O999" s="976"/>
      <c r="P999" s="976"/>
      <c r="Q999" s="976"/>
      <c r="R999" s="976"/>
      <c r="S999" s="976"/>
      <c r="T999" s="976"/>
      <c r="U999" s="976"/>
      <c r="V999" s="976"/>
      <c r="W999" s="976"/>
      <c r="X999" s="976"/>
      <c r="Y999" s="976"/>
      <c r="Z999" s="976"/>
    </row>
    <row r="1000" spans="1:26" ht="15" x14ac:dyDescent="0.25">
      <c r="A1000" s="976"/>
      <c r="B1000" s="976"/>
      <c r="C1000" s="976"/>
      <c r="D1000" s="976"/>
      <c r="E1000" s="976"/>
      <c r="F1000" s="976"/>
      <c r="G1000" s="976"/>
      <c r="H1000" s="976"/>
      <c r="I1000" s="976"/>
      <c r="J1000" s="976"/>
      <c r="K1000" s="976"/>
      <c r="L1000" s="976"/>
      <c r="M1000" s="976"/>
      <c r="N1000" s="976"/>
      <c r="O1000" s="976"/>
      <c r="P1000" s="976"/>
      <c r="Q1000" s="976"/>
      <c r="R1000" s="976"/>
      <c r="S1000" s="976"/>
      <c r="T1000" s="976"/>
      <c r="U1000" s="976"/>
      <c r="V1000" s="976"/>
      <c r="W1000" s="976"/>
      <c r="X1000" s="976"/>
      <c r="Y1000" s="976"/>
      <c r="Z1000" s="976"/>
    </row>
    <row r="1001" spans="1:26" ht="15" x14ac:dyDescent="0.25">
      <c r="A1001" s="976"/>
      <c r="B1001" s="976"/>
      <c r="C1001" s="976"/>
      <c r="D1001" s="976"/>
      <c r="E1001" s="976"/>
      <c r="F1001" s="976"/>
      <c r="G1001" s="976"/>
      <c r="H1001" s="976"/>
      <c r="I1001" s="976"/>
      <c r="J1001" s="976"/>
      <c r="K1001" s="976"/>
      <c r="L1001" s="976"/>
      <c r="M1001" s="976"/>
      <c r="N1001" s="976"/>
      <c r="O1001" s="976"/>
      <c r="P1001" s="976"/>
      <c r="Q1001" s="976"/>
      <c r="R1001" s="976"/>
      <c r="S1001" s="976"/>
      <c r="T1001" s="976"/>
      <c r="U1001" s="976"/>
      <c r="V1001" s="976"/>
      <c r="W1001" s="976"/>
      <c r="X1001" s="976"/>
      <c r="Y1001" s="976"/>
      <c r="Z1001" s="976"/>
    </row>
    <row r="1002" spans="1:26" ht="15" x14ac:dyDescent="0.25">
      <c r="A1002" s="976"/>
      <c r="B1002" s="976"/>
      <c r="C1002" s="976"/>
      <c r="D1002" s="976"/>
      <c r="E1002" s="976"/>
      <c r="F1002" s="976"/>
      <c r="G1002" s="976"/>
      <c r="H1002" s="976"/>
      <c r="I1002" s="976"/>
      <c r="J1002" s="976"/>
      <c r="K1002" s="976"/>
      <c r="L1002" s="976"/>
      <c r="M1002" s="976"/>
      <c r="N1002" s="976"/>
      <c r="O1002" s="976"/>
      <c r="P1002" s="976"/>
      <c r="Q1002" s="976"/>
      <c r="R1002" s="976"/>
      <c r="S1002" s="976"/>
      <c r="T1002" s="976"/>
      <c r="U1002" s="976"/>
      <c r="V1002" s="976"/>
      <c r="W1002" s="976"/>
      <c r="X1002" s="976"/>
      <c r="Y1002" s="976"/>
      <c r="Z1002" s="976"/>
    </row>
    <row r="1003" spans="1:26" ht="15" x14ac:dyDescent="0.25">
      <c r="A1003" s="976"/>
      <c r="B1003" s="976"/>
      <c r="C1003" s="976"/>
      <c r="D1003" s="976"/>
      <c r="E1003" s="976"/>
      <c r="F1003" s="976"/>
      <c r="G1003" s="976"/>
      <c r="H1003" s="976"/>
      <c r="I1003" s="976"/>
      <c r="J1003" s="976"/>
      <c r="K1003" s="976"/>
      <c r="L1003" s="976"/>
      <c r="M1003" s="976"/>
      <c r="N1003" s="976"/>
      <c r="O1003" s="976"/>
      <c r="P1003" s="976"/>
      <c r="Q1003" s="976"/>
      <c r="R1003" s="976"/>
      <c r="S1003" s="976"/>
      <c r="T1003" s="976"/>
      <c r="U1003" s="976"/>
      <c r="V1003" s="976"/>
      <c r="W1003" s="976"/>
      <c r="X1003" s="976"/>
      <c r="Y1003" s="976"/>
      <c r="Z1003" s="976"/>
    </row>
    <row r="1004" spans="1:26" ht="15" x14ac:dyDescent="0.25">
      <c r="A1004" s="976"/>
      <c r="B1004" s="976"/>
      <c r="C1004" s="976"/>
      <c r="D1004" s="976"/>
      <c r="E1004" s="976"/>
      <c r="F1004" s="976"/>
      <c r="G1004" s="976"/>
      <c r="H1004" s="976"/>
      <c r="I1004" s="976"/>
      <c r="J1004" s="976"/>
      <c r="K1004" s="976"/>
      <c r="L1004" s="976"/>
      <c r="M1004" s="976"/>
      <c r="N1004" s="976"/>
      <c r="O1004" s="976"/>
      <c r="P1004" s="976"/>
      <c r="Q1004" s="976"/>
      <c r="R1004" s="976"/>
      <c r="S1004" s="976"/>
      <c r="T1004" s="976"/>
      <c r="U1004" s="976"/>
      <c r="V1004" s="976"/>
      <c r="W1004" s="976"/>
      <c r="X1004" s="976"/>
      <c r="Y1004" s="976"/>
      <c r="Z1004" s="976"/>
    </row>
    <row r="1005" spans="1:26" ht="15" x14ac:dyDescent="0.25">
      <c r="A1005" s="976"/>
      <c r="B1005" s="976"/>
      <c r="C1005" s="976"/>
      <c r="D1005" s="976"/>
      <c r="E1005" s="976"/>
      <c r="F1005" s="976"/>
      <c r="G1005" s="976"/>
      <c r="H1005" s="976"/>
      <c r="I1005" s="976"/>
      <c r="J1005" s="976"/>
      <c r="K1005" s="976"/>
      <c r="L1005" s="976"/>
      <c r="M1005" s="976"/>
      <c r="N1005" s="976"/>
      <c r="O1005" s="976"/>
      <c r="P1005" s="976"/>
      <c r="Q1005" s="976"/>
      <c r="R1005" s="976"/>
      <c r="S1005" s="976"/>
      <c r="T1005" s="976"/>
      <c r="U1005" s="976"/>
      <c r="V1005" s="976"/>
      <c r="W1005" s="976"/>
      <c r="X1005" s="976"/>
      <c r="Y1005" s="976"/>
      <c r="Z1005" s="976"/>
    </row>
    <row r="1006" spans="1:26" ht="15" x14ac:dyDescent="0.25">
      <c r="A1006" s="976"/>
      <c r="B1006" s="976"/>
      <c r="C1006" s="976"/>
      <c r="D1006" s="976"/>
      <c r="E1006" s="976"/>
      <c r="F1006" s="976"/>
      <c r="G1006" s="976"/>
      <c r="H1006" s="976"/>
      <c r="I1006" s="976"/>
      <c r="J1006" s="976"/>
      <c r="K1006" s="976"/>
      <c r="L1006" s="976"/>
      <c r="M1006" s="976"/>
      <c r="N1006" s="976"/>
      <c r="O1006" s="976"/>
      <c r="P1006" s="976"/>
      <c r="Q1006" s="976"/>
      <c r="R1006" s="976"/>
      <c r="S1006" s="976"/>
      <c r="T1006" s="976"/>
      <c r="U1006" s="976"/>
      <c r="V1006" s="976"/>
      <c r="W1006" s="976"/>
      <c r="X1006" s="976"/>
      <c r="Y1006" s="976"/>
      <c r="Z1006" s="976"/>
    </row>
    <row r="1007" spans="1:26" ht="15" x14ac:dyDescent="0.25">
      <c r="A1007" s="976"/>
      <c r="B1007" s="976"/>
      <c r="C1007" s="976"/>
      <c r="D1007" s="976"/>
      <c r="E1007" s="976"/>
      <c r="F1007" s="976"/>
      <c r="G1007" s="976"/>
      <c r="H1007" s="976"/>
      <c r="I1007" s="976"/>
      <c r="J1007" s="976"/>
      <c r="K1007" s="976"/>
      <c r="L1007" s="976"/>
      <c r="M1007" s="976"/>
      <c r="N1007" s="976"/>
      <c r="O1007" s="976"/>
      <c r="P1007" s="976"/>
      <c r="Q1007" s="976"/>
      <c r="R1007" s="976"/>
      <c r="S1007" s="976"/>
      <c r="T1007" s="976"/>
      <c r="U1007" s="976"/>
      <c r="V1007" s="976"/>
      <c r="W1007" s="976"/>
      <c r="X1007" s="976"/>
      <c r="Y1007" s="976"/>
      <c r="Z1007" s="976"/>
    </row>
    <row r="1008" spans="1:26" ht="15" x14ac:dyDescent="0.25">
      <c r="A1008" s="976"/>
      <c r="B1008" s="976"/>
      <c r="C1008" s="976"/>
      <c r="D1008" s="976"/>
      <c r="E1008" s="976"/>
      <c r="F1008" s="976"/>
      <c r="G1008" s="976"/>
      <c r="H1008" s="976"/>
      <c r="I1008" s="976"/>
      <c r="J1008" s="976"/>
      <c r="K1008" s="976"/>
      <c r="L1008" s="976"/>
      <c r="M1008" s="976"/>
      <c r="N1008" s="976"/>
      <c r="O1008" s="976"/>
      <c r="P1008" s="976"/>
      <c r="Q1008" s="976"/>
      <c r="R1008" s="976"/>
      <c r="S1008" s="976"/>
      <c r="T1008" s="976"/>
      <c r="U1008" s="976"/>
      <c r="V1008" s="976"/>
      <c r="W1008" s="976"/>
      <c r="X1008" s="976"/>
      <c r="Y1008" s="976"/>
      <c r="Z1008" s="976"/>
    </row>
    <row r="1009" spans="1:26" ht="15" x14ac:dyDescent="0.25">
      <c r="A1009" s="976"/>
      <c r="B1009" s="976"/>
      <c r="C1009" s="976"/>
      <c r="D1009" s="976"/>
      <c r="E1009" s="976"/>
      <c r="F1009" s="976"/>
      <c r="G1009" s="976"/>
      <c r="H1009" s="976"/>
      <c r="I1009" s="976"/>
      <c r="J1009" s="976"/>
      <c r="K1009" s="976"/>
      <c r="L1009" s="976"/>
      <c r="M1009" s="976"/>
      <c r="N1009" s="976"/>
      <c r="O1009" s="976"/>
      <c r="P1009" s="976"/>
      <c r="Q1009" s="976"/>
      <c r="R1009" s="976"/>
      <c r="S1009" s="976"/>
      <c r="T1009" s="976"/>
      <c r="U1009" s="976"/>
      <c r="V1009" s="976"/>
      <c r="W1009" s="976"/>
      <c r="X1009" s="976"/>
      <c r="Y1009" s="976"/>
      <c r="Z1009" s="976"/>
    </row>
    <row r="1010" spans="1:26" ht="15" x14ac:dyDescent="0.25">
      <c r="A1010" s="976"/>
      <c r="B1010" s="976"/>
      <c r="C1010" s="976"/>
      <c r="D1010" s="976"/>
      <c r="E1010" s="976"/>
      <c r="F1010" s="976"/>
      <c r="G1010" s="976"/>
      <c r="H1010" s="976"/>
      <c r="I1010" s="976"/>
      <c r="J1010" s="976"/>
      <c r="K1010" s="976"/>
      <c r="L1010" s="976"/>
      <c r="M1010" s="976"/>
      <c r="N1010" s="976"/>
      <c r="O1010" s="976"/>
      <c r="P1010" s="976"/>
      <c r="Q1010" s="976"/>
      <c r="R1010" s="976"/>
      <c r="S1010" s="976"/>
      <c r="T1010" s="976"/>
      <c r="U1010" s="976"/>
      <c r="V1010" s="976"/>
      <c r="W1010" s="976"/>
      <c r="X1010" s="976"/>
      <c r="Y1010" s="976"/>
      <c r="Z1010" s="976"/>
    </row>
    <row r="1011" spans="1:26" ht="15" x14ac:dyDescent="0.25">
      <c r="A1011" s="976"/>
      <c r="B1011" s="976"/>
      <c r="C1011" s="976"/>
      <c r="D1011" s="976"/>
      <c r="E1011" s="976"/>
      <c r="F1011" s="976"/>
      <c r="G1011" s="976"/>
      <c r="H1011" s="976"/>
      <c r="I1011" s="976"/>
      <c r="J1011" s="976"/>
      <c r="K1011" s="976"/>
      <c r="L1011" s="976"/>
      <c r="M1011" s="976"/>
      <c r="N1011" s="976"/>
      <c r="O1011" s="976"/>
      <c r="P1011" s="976"/>
      <c r="Q1011" s="976"/>
      <c r="R1011" s="976"/>
      <c r="S1011" s="976"/>
      <c r="T1011" s="976"/>
      <c r="U1011" s="976"/>
      <c r="V1011" s="976"/>
      <c r="W1011" s="976"/>
      <c r="X1011" s="976"/>
      <c r="Y1011" s="976"/>
      <c r="Z1011" s="976"/>
    </row>
    <row r="1012" spans="1:26" ht="15" x14ac:dyDescent="0.25">
      <c r="A1012" s="976"/>
      <c r="B1012" s="976"/>
      <c r="C1012" s="976"/>
      <c r="D1012" s="976"/>
      <c r="E1012" s="976"/>
      <c r="F1012" s="976"/>
      <c r="G1012" s="976"/>
      <c r="H1012" s="976"/>
      <c r="I1012" s="976"/>
      <c r="J1012" s="976"/>
      <c r="K1012" s="976"/>
      <c r="L1012" s="976"/>
      <c r="M1012" s="976"/>
      <c r="N1012" s="976"/>
      <c r="O1012" s="976"/>
      <c r="P1012" s="976"/>
      <c r="Q1012" s="976"/>
      <c r="R1012" s="976"/>
      <c r="S1012" s="976"/>
      <c r="T1012" s="976"/>
      <c r="U1012" s="976"/>
      <c r="V1012" s="976"/>
      <c r="W1012" s="976"/>
      <c r="X1012" s="976"/>
      <c r="Y1012" s="976"/>
      <c r="Z1012" s="976"/>
    </row>
    <row r="1013" spans="1:26" ht="15" x14ac:dyDescent="0.25">
      <c r="A1013" s="976"/>
      <c r="B1013" s="976"/>
      <c r="C1013" s="976"/>
      <c r="D1013" s="976"/>
      <c r="E1013" s="976"/>
      <c r="F1013" s="976"/>
      <c r="G1013" s="976"/>
      <c r="H1013" s="976"/>
      <c r="I1013" s="976"/>
      <c r="J1013" s="976"/>
      <c r="K1013" s="976"/>
      <c r="L1013" s="976"/>
      <c r="M1013" s="976"/>
      <c r="N1013" s="976"/>
      <c r="O1013" s="976"/>
      <c r="P1013" s="976"/>
      <c r="Q1013" s="976"/>
      <c r="R1013" s="976"/>
      <c r="S1013" s="976"/>
      <c r="T1013" s="976"/>
      <c r="U1013" s="976"/>
      <c r="V1013" s="976"/>
      <c r="W1013" s="976"/>
      <c r="X1013" s="976"/>
      <c r="Y1013" s="976"/>
      <c r="Z1013" s="976"/>
    </row>
    <row r="1014" spans="1:26" ht="15" x14ac:dyDescent="0.25">
      <c r="A1014" s="976"/>
      <c r="B1014" s="976"/>
      <c r="C1014" s="976"/>
      <c r="D1014" s="976"/>
      <c r="E1014" s="976"/>
      <c r="F1014" s="976"/>
      <c r="G1014" s="976"/>
      <c r="H1014" s="976"/>
      <c r="I1014" s="976"/>
      <c r="J1014" s="976"/>
      <c r="K1014" s="976"/>
      <c r="L1014" s="976"/>
      <c r="M1014" s="976"/>
      <c r="N1014" s="976"/>
      <c r="O1014" s="976"/>
      <c r="P1014" s="976"/>
      <c r="Q1014" s="976"/>
      <c r="R1014" s="976"/>
      <c r="S1014" s="976"/>
      <c r="T1014" s="976"/>
      <c r="U1014" s="976"/>
      <c r="V1014" s="976"/>
      <c r="W1014" s="976"/>
      <c r="X1014" s="976"/>
      <c r="Y1014" s="976"/>
      <c r="Z1014" s="976"/>
    </row>
    <row r="1015" spans="1:26" ht="15" x14ac:dyDescent="0.25">
      <c r="A1015" s="976"/>
      <c r="B1015" s="976"/>
      <c r="C1015" s="976"/>
      <c r="D1015" s="976"/>
      <c r="E1015" s="976"/>
      <c r="F1015" s="976"/>
      <c r="G1015" s="976"/>
      <c r="H1015" s="976"/>
      <c r="I1015" s="976"/>
      <c r="J1015" s="976"/>
      <c r="K1015" s="976"/>
      <c r="L1015" s="976"/>
      <c r="M1015" s="976"/>
      <c r="N1015" s="976"/>
      <c r="O1015" s="976"/>
      <c r="P1015" s="976"/>
      <c r="Q1015" s="976"/>
      <c r="R1015" s="976"/>
      <c r="S1015" s="976"/>
      <c r="T1015" s="976"/>
      <c r="U1015" s="976"/>
      <c r="V1015" s="976"/>
      <c r="W1015" s="976"/>
      <c r="X1015" s="976"/>
      <c r="Y1015" s="976"/>
      <c r="Z1015" s="976"/>
    </row>
    <row r="1016" spans="1:26" ht="15" x14ac:dyDescent="0.25">
      <c r="A1016" s="976"/>
      <c r="B1016" s="976"/>
      <c r="C1016" s="976"/>
      <c r="D1016" s="976"/>
      <c r="E1016" s="976"/>
      <c r="F1016" s="976"/>
      <c r="G1016" s="976"/>
      <c r="H1016" s="976"/>
      <c r="I1016" s="976"/>
      <c r="J1016" s="976"/>
      <c r="K1016" s="976"/>
      <c r="L1016" s="976"/>
      <c r="M1016" s="976"/>
      <c r="N1016" s="976"/>
      <c r="O1016" s="976"/>
      <c r="P1016" s="976"/>
      <c r="Q1016" s="976"/>
      <c r="R1016" s="976"/>
      <c r="S1016" s="976"/>
      <c r="T1016" s="976"/>
      <c r="U1016" s="976"/>
      <c r="V1016" s="976"/>
      <c r="W1016" s="976"/>
      <c r="X1016" s="976"/>
      <c r="Y1016" s="976"/>
      <c r="Z1016" s="976"/>
    </row>
    <row r="1017" spans="1:26" ht="15" x14ac:dyDescent="0.25">
      <c r="A1017" s="976"/>
      <c r="B1017" s="976"/>
      <c r="C1017" s="976"/>
      <c r="D1017" s="976"/>
      <c r="E1017" s="976"/>
      <c r="F1017" s="976"/>
      <c r="G1017" s="976"/>
      <c r="H1017" s="976"/>
      <c r="I1017" s="976"/>
      <c r="J1017" s="976"/>
      <c r="K1017" s="976"/>
      <c r="L1017" s="976"/>
      <c r="M1017" s="976"/>
      <c r="N1017" s="976"/>
      <c r="O1017" s="976"/>
      <c r="P1017" s="976"/>
      <c r="Q1017" s="976"/>
      <c r="R1017" s="976"/>
      <c r="S1017" s="976"/>
      <c r="T1017" s="976"/>
      <c r="U1017" s="976"/>
      <c r="V1017" s="976"/>
      <c r="W1017" s="976"/>
      <c r="X1017" s="976"/>
      <c r="Y1017" s="976"/>
      <c r="Z1017" s="976"/>
    </row>
    <row r="1018" spans="1:26" ht="15" x14ac:dyDescent="0.25">
      <c r="A1018" s="976"/>
      <c r="B1018" s="976"/>
      <c r="C1018" s="976"/>
      <c r="D1018" s="976"/>
      <c r="E1018" s="976"/>
      <c r="F1018" s="976"/>
      <c r="G1018" s="976"/>
      <c r="H1018" s="976"/>
      <c r="I1018" s="976"/>
      <c r="J1018" s="976"/>
      <c r="K1018" s="976"/>
      <c r="L1018" s="976"/>
      <c r="M1018" s="976"/>
      <c r="N1018" s="976"/>
      <c r="O1018" s="976"/>
      <c r="P1018" s="976"/>
      <c r="Q1018" s="976"/>
      <c r="R1018" s="976"/>
      <c r="S1018" s="976"/>
      <c r="T1018" s="976"/>
      <c r="U1018" s="976"/>
      <c r="V1018" s="976"/>
      <c r="W1018" s="976"/>
      <c r="X1018" s="976"/>
      <c r="Y1018" s="976"/>
      <c r="Z1018" s="976"/>
    </row>
    <row r="1019" spans="1:26" ht="15" x14ac:dyDescent="0.25">
      <c r="A1019" s="976"/>
      <c r="B1019" s="976"/>
      <c r="C1019" s="976"/>
      <c r="D1019" s="976"/>
      <c r="E1019" s="976"/>
      <c r="F1019" s="976"/>
      <c r="G1019" s="976"/>
      <c r="H1019" s="976"/>
      <c r="I1019" s="976"/>
      <c r="J1019" s="976"/>
      <c r="K1019" s="976"/>
      <c r="L1019" s="976"/>
      <c r="M1019" s="976"/>
      <c r="N1019" s="976"/>
      <c r="O1019" s="976"/>
      <c r="P1019" s="976"/>
      <c r="Q1019" s="976"/>
      <c r="R1019" s="976"/>
      <c r="S1019" s="976"/>
      <c r="T1019" s="976"/>
      <c r="U1019" s="976"/>
      <c r="V1019" s="976"/>
      <c r="W1019" s="976"/>
      <c r="X1019" s="976"/>
      <c r="Y1019" s="976"/>
      <c r="Z1019" s="976"/>
    </row>
    <row r="1020" spans="1:26" ht="15" x14ac:dyDescent="0.25">
      <c r="A1020" s="976"/>
      <c r="B1020" s="976"/>
      <c r="C1020" s="976"/>
      <c r="D1020" s="976"/>
      <c r="E1020" s="976"/>
      <c r="F1020" s="976"/>
      <c r="G1020" s="976"/>
      <c r="H1020" s="976"/>
      <c r="I1020" s="976"/>
      <c r="J1020" s="976"/>
      <c r="K1020" s="976"/>
      <c r="L1020" s="976"/>
      <c r="M1020" s="976"/>
      <c r="N1020" s="976"/>
      <c r="O1020" s="976"/>
      <c r="P1020" s="976"/>
      <c r="Q1020" s="976"/>
      <c r="R1020" s="976"/>
      <c r="S1020" s="976"/>
      <c r="T1020" s="976"/>
      <c r="U1020" s="976"/>
      <c r="V1020" s="976"/>
      <c r="W1020" s="976"/>
      <c r="X1020" s="976"/>
      <c r="Y1020" s="976"/>
      <c r="Z1020" s="976"/>
    </row>
    <row r="1021" spans="1:26" ht="15" x14ac:dyDescent="0.25">
      <c r="A1021" s="976"/>
      <c r="B1021" s="976"/>
      <c r="C1021" s="976"/>
      <c r="D1021" s="976"/>
      <c r="E1021" s="976"/>
      <c r="F1021" s="976"/>
      <c r="G1021" s="976"/>
      <c r="H1021" s="976"/>
      <c r="I1021" s="976"/>
      <c r="J1021" s="976"/>
      <c r="K1021" s="976"/>
      <c r="L1021" s="976"/>
      <c r="M1021" s="976"/>
      <c r="N1021" s="976"/>
      <c r="O1021" s="976"/>
      <c r="P1021" s="976"/>
      <c r="Q1021" s="976"/>
      <c r="R1021" s="976"/>
      <c r="S1021" s="976"/>
      <c r="T1021" s="976"/>
      <c r="U1021" s="976"/>
      <c r="V1021" s="976"/>
      <c r="W1021" s="976"/>
      <c r="X1021" s="976"/>
      <c r="Y1021" s="976"/>
      <c r="Z1021" s="976"/>
    </row>
    <row r="1022" spans="1:26" ht="15" x14ac:dyDescent="0.25">
      <c r="A1022" s="976"/>
      <c r="B1022" s="976"/>
      <c r="C1022" s="976"/>
      <c r="D1022" s="976"/>
      <c r="E1022" s="976"/>
      <c r="F1022" s="976"/>
      <c r="G1022" s="976"/>
      <c r="H1022" s="976"/>
      <c r="I1022" s="976"/>
      <c r="J1022" s="976"/>
      <c r="K1022" s="976"/>
      <c r="L1022" s="976"/>
      <c r="M1022" s="976"/>
      <c r="N1022" s="976"/>
      <c r="O1022" s="976"/>
      <c r="P1022" s="976"/>
      <c r="Q1022" s="976"/>
      <c r="R1022" s="976"/>
      <c r="S1022" s="976"/>
      <c r="T1022" s="976"/>
      <c r="U1022" s="976"/>
      <c r="V1022" s="976"/>
      <c r="W1022" s="976"/>
      <c r="X1022" s="976"/>
      <c r="Y1022" s="976"/>
      <c r="Z1022" s="976"/>
    </row>
    <row r="1023" spans="1:26" ht="15" x14ac:dyDescent="0.25">
      <c r="A1023" s="976"/>
      <c r="B1023" s="976"/>
      <c r="C1023" s="976"/>
      <c r="D1023" s="976"/>
      <c r="E1023" s="976"/>
      <c r="F1023" s="976"/>
      <c r="G1023" s="976"/>
      <c r="H1023" s="976"/>
      <c r="I1023" s="976"/>
      <c r="J1023" s="976"/>
      <c r="K1023" s="976"/>
      <c r="L1023" s="976"/>
      <c r="M1023" s="976"/>
      <c r="N1023" s="976"/>
      <c r="O1023" s="976"/>
      <c r="P1023" s="976"/>
      <c r="Q1023" s="976"/>
      <c r="R1023" s="976"/>
      <c r="S1023" s="976"/>
      <c r="T1023" s="976"/>
      <c r="U1023" s="976"/>
      <c r="V1023" s="976"/>
      <c r="W1023" s="976"/>
      <c r="X1023" s="976"/>
      <c r="Y1023" s="976"/>
      <c r="Z1023" s="976"/>
    </row>
    <row r="1024" spans="1:26" ht="15" x14ac:dyDescent="0.25">
      <c r="A1024" s="976"/>
      <c r="B1024" s="976"/>
      <c r="C1024" s="976"/>
      <c r="D1024" s="976"/>
      <c r="E1024" s="976"/>
      <c r="F1024" s="976"/>
      <c r="G1024" s="976"/>
      <c r="H1024" s="976"/>
      <c r="I1024" s="976"/>
      <c r="J1024" s="976"/>
      <c r="K1024" s="976"/>
      <c r="L1024" s="976"/>
      <c r="M1024" s="976"/>
      <c r="N1024" s="976"/>
      <c r="O1024" s="976"/>
      <c r="P1024" s="976"/>
      <c r="Q1024" s="976"/>
      <c r="R1024" s="976"/>
      <c r="S1024" s="976"/>
      <c r="T1024" s="976"/>
      <c r="U1024" s="976"/>
      <c r="V1024" s="976"/>
      <c r="W1024" s="976"/>
      <c r="X1024" s="976"/>
      <c r="Y1024" s="976"/>
      <c r="Z1024" s="976"/>
    </row>
    <row r="1025" spans="1:26" ht="15" x14ac:dyDescent="0.25">
      <c r="A1025" s="976"/>
      <c r="B1025" s="976"/>
      <c r="C1025" s="976"/>
      <c r="D1025" s="976"/>
      <c r="E1025" s="976"/>
      <c r="F1025" s="976"/>
      <c r="G1025" s="976"/>
      <c r="H1025" s="976"/>
      <c r="I1025" s="976"/>
      <c r="J1025" s="976"/>
      <c r="K1025" s="976"/>
      <c r="L1025" s="976"/>
      <c r="M1025" s="976"/>
      <c r="N1025" s="976"/>
      <c r="O1025" s="976"/>
      <c r="P1025" s="976"/>
      <c r="Q1025" s="976"/>
      <c r="R1025" s="976"/>
      <c r="S1025" s="976"/>
      <c r="T1025" s="976"/>
      <c r="U1025" s="976"/>
      <c r="V1025" s="976"/>
      <c r="W1025" s="976"/>
      <c r="X1025" s="976"/>
      <c r="Y1025" s="976"/>
      <c r="Z1025" s="976"/>
    </row>
    <row r="1026" spans="1:26" ht="15" x14ac:dyDescent="0.25">
      <c r="A1026" s="976"/>
      <c r="B1026" s="976"/>
      <c r="C1026" s="976"/>
      <c r="D1026" s="976"/>
      <c r="E1026" s="976"/>
      <c r="F1026" s="976"/>
      <c r="G1026" s="976"/>
      <c r="H1026" s="976"/>
      <c r="I1026" s="976"/>
      <c r="J1026" s="976"/>
      <c r="K1026" s="976"/>
      <c r="L1026" s="976"/>
      <c r="M1026" s="976"/>
      <c r="N1026" s="976"/>
      <c r="O1026" s="976"/>
      <c r="P1026" s="976"/>
      <c r="Q1026" s="976"/>
      <c r="R1026" s="976"/>
      <c r="S1026" s="976"/>
      <c r="T1026" s="976"/>
      <c r="U1026" s="976"/>
      <c r="V1026" s="976"/>
      <c r="W1026" s="976"/>
      <c r="X1026" s="976"/>
      <c r="Y1026" s="976"/>
      <c r="Z1026" s="976"/>
    </row>
    <row r="1027" spans="1:26" ht="15" x14ac:dyDescent="0.25">
      <c r="A1027" s="976"/>
      <c r="B1027" s="976"/>
      <c r="C1027" s="976"/>
      <c r="D1027" s="976"/>
      <c r="E1027" s="976"/>
      <c r="F1027" s="976"/>
      <c r="G1027" s="976"/>
      <c r="H1027" s="976"/>
      <c r="I1027" s="976"/>
      <c r="J1027" s="976"/>
      <c r="K1027" s="976"/>
      <c r="L1027" s="976"/>
      <c r="M1027" s="976"/>
      <c r="N1027" s="976"/>
      <c r="O1027" s="976"/>
      <c r="P1027" s="976"/>
      <c r="Q1027" s="976"/>
      <c r="R1027" s="976"/>
      <c r="S1027" s="976"/>
      <c r="T1027" s="976"/>
      <c r="U1027" s="976"/>
      <c r="V1027" s="976"/>
      <c r="W1027" s="976"/>
      <c r="X1027" s="976"/>
      <c r="Y1027" s="976"/>
      <c r="Z1027" s="976"/>
    </row>
    <row r="1028" spans="1:26" ht="15" x14ac:dyDescent="0.25">
      <c r="A1028" s="976"/>
      <c r="B1028" s="976"/>
      <c r="C1028" s="976"/>
      <c r="D1028" s="976"/>
      <c r="E1028" s="976"/>
      <c r="F1028" s="976"/>
      <c r="G1028" s="976"/>
      <c r="H1028" s="976"/>
      <c r="I1028" s="976"/>
      <c r="J1028" s="976"/>
      <c r="K1028" s="976"/>
      <c r="L1028" s="976"/>
      <c r="M1028" s="976"/>
      <c r="N1028" s="976"/>
      <c r="O1028" s="976"/>
      <c r="P1028" s="976"/>
      <c r="Q1028" s="976"/>
      <c r="R1028" s="976"/>
      <c r="S1028" s="976"/>
      <c r="T1028" s="976"/>
      <c r="U1028" s="976"/>
      <c r="V1028" s="976"/>
      <c r="W1028" s="976"/>
      <c r="X1028" s="976"/>
      <c r="Y1028" s="976"/>
      <c r="Z1028" s="976"/>
    </row>
    <row r="1029" spans="1:26" ht="15" x14ac:dyDescent="0.25">
      <c r="A1029" s="976"/>
      <c r="B1029" s="976"/>
      <c r="C1029" s="976"/>
      <c r="D1029" s="976"/>
      <c r="E1029" s="976"/>
      <c r="F1029" s="976"/>
      <c r="G1029" s="976"/>
      <c r="H1029" s="976"/>
      <c r="I1029" s="976"/>
      <c r="J1029" s="976"/>
      <c r="K1029" s="976"/>
      <c r="L1029" s="976"/>
      <c r="M1029" s="976"/>
      <c r="N1029" s="976"/>
      <c r="O1029" s="976"/>
      <c r="P1029" s="976"/>
      <c r="Q1029" s="976"/>
      <c r="R1029" s="976"/>
      <c r="S1029" s="976"/>
      <c r="T1029" s="976"/>
      <c r="U1029" s="976"/>
      <c r="V1029" s="976"/>
      <c r="W1029" s="976"/>
      <c r="X1029" s="976"/>
      <c r="Y1029" s="976"/>
      <c r="Z1029" s="976"/>
    </row>
    <row r="1030" spans="1:26" ht="15" x14ac:dyDescent="0.25">
      <c r="A1030" s="976"/>
      <c r="B1030" s="976"/>
      <c r="C1030" s="976"/>
      <c r="D1030" s="976"/>
      <c r="E1030" s="976"/>
      <c r="F1030" s="976"/>
      <c r="G1030" s="976"/>
      <c r="H1030" s="976"/>
      <c r="I1030" s="976"/>
      <c r="J1030" s="976"/>
      <c r="K1030" s="976"/>
      <c r="L1030" s="976"/>
      <c r="M1030" s="976"/>
      <c r="N1030" s="976"/>
      <c r="O1030" s="976"/>
      <c r="P1030" s="976"/>
      <c r="Q1030" s="976"/>
      <c r="R1030" s="976"/>
      <c r="S1030" s="976"/>
      <c r="T1030" s="976"/>
      <c r="U1030" s="976"/>
      <c r="V1030" s="976"/>
      <c r="W1030" s="976"/>
      <c r="X1030" s="976"/>
      <c r="Y1030" s="976"/>
      <c r="Z1030" s="976"/>
    </row>
    <row r="1031" spans="1:26" ht="15" x14ac:dyDescent="0.25">
      <c r="A1031" s="976"/>
      <c r="B1031" s="976"/>
      <c r="C1031" s="976"/>
      <c r="D1031" s="976"/>
      <c r="E1031" s="976"/>
      <c r="F1031" s="976"/>
      <c r="G1031" s="976"/>
      <c r="H1031" s="976"/>
      <c r="I1031" s="976"/>
      <c r="J1031" s="976"/>
      <c r="K1031" s="976"/>
      <c r="L1031" s="976"/>
      <c r="M1031" s="976"/>
      <c r="N1031" s="976"/>
      <c r="O1031" s="976"/>
      <c r="P1031" s="976"/>
      <c r="Q1031" s="976"/>
      <c r="R1031" s="976"/>
      <c r="S1031" s="976"/>
      <c r="T1031" s="976"/>
      <c r="U1031" s="976"/>
      <c r="V1031" s="976"/>
      <c r="W1031" s="976"/>
      <c r="X1031" s="976"/>
      <c r="Y1031" s="976"/>
      <c r="Z1031" s="976"/>
    </row>
  </sheetData>
  <mergeCells count="24">
    <mergeCell ref="A12:I12"/>
    <mergeCell ref="A1:I1"/>
    <mergeCell ref="A2:I2"/>
    <mergeCell ref="A3:I3"/>
    <mergeCell ref="A7:I7"/>
    <mergeCell ref="A11:I11"/>
    <mergeCell ref="A50:I50"/>
    <mergeCell ref="A16:I16"/>
    <mergeCell ref="A18:I18"/>
    <mergeCell ref="A25:I25"/>
    <mergeCell ref="A23:I23"/>
    <mergeCell ref="A34:I34"/>
    <mergeCell ref="A35:I35"/>
    <mergeCell ref="A36:I36"/>
    <mergeCell ref="A47:I47"/>
    <mergeCell ref="A48:I48"/>
    <mergeCell ref="A17:I17"/>
    <mergeCell ref="A61:I61"/>
    <mergeCell ref="A52:I52"/>
    <mergeCell ref="A53:I53"/>
    <mergeCell ref="A56:I56"/>
    <mergeCell ref="A57:I57"/>
    <mergeCell ref="A59:I59"/>
    <mergeCell ref="A60:I60"/>
  </mergeCells>
  <pageMargins left="0.7" right="0.7" top="0.75" bottom="0.75" header="0.51180555555555496" footer="0.51180555555555496"/>
  <pageSetup paperSize="9" scale="65" firstPageNumber="0" orientation="portrait" horizontalDpi="300" verticalDpi="300" r:id="rId1"/>
  <headerFooter>
    <oddFooter>&amp;C&amp;1#&amp;"Calibri"&amp;10&amp;K000000Usage Interne / Internal Use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/>
  </sheetViews>
  <sheetFormatPr defaultColWidth="11.42578125" defaultRowHeight="12" x14ac:dyDescent="0.2"/>
  <sheetData>
    <row r="1" spans="1:3" x14ac:dyDescent="0.2">
      <c r="A1" t="s">
        <v>103</v>
      </c>
    </row>
    <row r="2" spans="1:3" x14ac:dyDescent="0.2">
      <c r="B2" t="s">
        <v>104</v>
      </c>
      <c r="C2" t="s">
        <v>105</v>
      </c>
    </row>
    <row r="3" spans="1:3" x14ac:dyDescent="0.2">
      <c r="A3" s="912" t="s">
        <v>106</v>
      </c>
      <c r="B3">
        <f>'BP Séjour ouvert 1S'!F15+'BP Séjour ouvert 2S'!F15</f>
        <v>5278</v>
      </c>
    </row>
    <row r="4" spans="1:3" x14ac:dyDescent="0.2">
      <c r="A4" s="912" t="s">
        <v>107</v>
      </c>
      <c r="B4">
        <f>'BP Séjour ouvert 2S'!F16+'BP Séjour ouvert 2S'!F17+'BP Séjour ouvert 2S'!F18+'BP Séjour ouvert 1S'!F18+'BP Séjour ouvert 1S'!F16+'BP Séjour ouvert 1S'!F17</f>
        <v>1608</v>
      </c>
    </row>
    <row r="5" spans="1:3" x14ac:dyDescent="0.2">
      <c r="A5" s="912" t="s">
        <v>108</v>
      </c>
      <c r="B5">
        <f>'BP Séjour ouvert 2S'!F19+'BP Séjour ouvert 1S'!F19</f>
        <v>300</v>
      </c>
    </row>
    <row r="6" spans="1:3" x14ac:dyDescent="0.2">
      <c r="A6" s="912" t="s">
        <v>109</v>
      </c>
      <c r="B6">
        <f>'BP Séjour ouvert 2S'!F25+'BP Séjour ouvert 1S'!F25</f>
        <v>3200</v>
      </c>
    </row>
    <row r="7" spans="1:3" ht="12.75" thickBot="1" x14ac:dyDescent="0.25">
      <c r="A7" s="912"/>
    </row>
    <row r="8" spans="1:3" x14ac:dyDescent="0.2">
      <c r="A8" s="25" t="s">
        <v>53</v>
      </c>
      <c r="C8">
        <f>'BP Séjour ouvert 1S'!F76+'BP Séjour ouvert 2S'!F76</f>
        <v>25500</v>
      </c>
    </row>
    <row r="9" spans="1:3" x14ac:dyDescent="0.2">
      <c r="A9" s="912"/>
    </row>
    <row r="10" spans="1:3" x14ac:dyDescent="0.2">
      <c r="A10" s="609" t="s">
        <v>110</v>
      </c>
      <c r="B10">
        <f>'BP Séjour ouvert 2S'!F21+'BP Séjour ouvert 1S'!F21</f>
        <v>100</v>
      </c>
    </row>
    <row r="13" spans="1:3" ht="12.75" thickBot="1" x14ac:dyDescent="0.25">
      <c r="A13" s="912" t="s">
        <v>111</v>
      </c>
      <c r="B13">
        <f>'BP Séjour ouvert 1S'!F71+'BP Séjour ouvert 2S'!F71</f>
        <v>100</v>
      </c>
    </row>
    <row r="14" spans="1:3" x14ac:dyDescent="0.2">
      <c r="A14" s="25" t="s">
        <v>112</v>
      </c>
      <c r="B14">
        <f>'BP Séjour ouvert 1S'!F57+'BP Séjour ouvert 2S'!F57</f>
        <v>7950.8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61"/>
  <sheetViews>
    <sheetView workbookViewId="0"/>
  </sheetViews>
  <sheetFormatPr defaultColWidth="9.140625" defaultRowHeight="12" x14ac:dyDescent="0.2"/>
  <cols>
    <col min="1" max="1" width="8.7109375" customWidth="1"/>
    <col min="2" max="2" width="35.7109375" customWidth="1"/>
    <col min="3" max="3" width="5.42578125" hidden="1" customWidth="1"/>
    <col min="4" max="4" width="4" hidden="1" customWidth="1"/>
    <col min="5" max="6" width="5.42578125" hidden="1" customWidth="1"/>
    <col min="7" max="7" width="6.42578125" hidden="1" customWidth="1"/>
    <col min="8" max="8" width="5.42578125" hidden="1" customWidth="1"/>
    <col min="9" max="9" width="3.42578125" hidden="1" customWidth="1"/>
    <col min="10" max="11" width="5.42578125" hidden="1" customWidth="1"/>
    <col min="12" max="12" width="3.42578125" hidden="1" customWidth="1"/>
    <col min="13" max="13" width="6.42578125" hidden="1" customWidth="1"/>
    <col min="14" max="14" width="4" hidden="1" customWidth="1"/>
    <col min="15" max="15" width="5.42578125" hidden="1" customWidth="1"/>
    <col min="16" max="16" width="3.42578125" hidden="1" customWidth="1"/>
    <col min="17" max="18" width="5.42578125" hidden="1" customWidth="1"/>
    <col min="19" max="19" width="6.42578125" hidden="1" customWidth="1"/>
    <col min="20" max="20" width="7.42578125" hidden="1" customWidth="1"/>
    <col min="21" max="21" width="8.85546875" hidden="1" customWidth="1"/>
    <col min="22" max="22" width="7.42578125" hidden="1" customWidth="1"/>
    <col min="23" max="23" width="3.42578125" hidden="1" customWidth="1"/>
    <col min="24" max="24" width="5.42578125" hidden="1" customWidth="1"/>
    <col min="25" max="25" width="10.5703125" hidden="1" customWidth="1"/>
    <col min="26" max="27" width="4" hidden="1" customWidth="1"/>
    <col min="28" max="28" width="3.42578125" hidden="1" customWidth="1"/>
    <col min="29" max="29" width="4" hidden="1" customWidth="1"/>
    <col min="30" max="30" width="5.42578125" hidden="1" customWidth="1"/>
    <col min="31" max="31" width="5.42578125" bestFit="1" customWidth="1"/>
    <col min="32" max="33" width="3.42578125" hidden="1" customWidth="1"/>
    <col min="34" max="35" width="6.42578125" bestFit="1" customWidth="1"/>
    <col min="36" max="36" width="5.42578125" bestFit="1" customWidth="1"/>
    <col min="37" max="38" width="3.42578125" customWidth="1"/>
    <col min="39" max="41" width="3.28515625" bestFit="1" customWidth="1"/>
    <col min="42" max="42" width="6.42578125" bestFit="1" customWidth="1"/>
    <col min="43" max="44" width="3.42578125" hidden="1" customWidth="1"/>
    <col min="45" max="45" width="6.42578125" hidden="1" customWidth="1"/>
    <col min="46" max="46" width="3.42578125" hidden="1" customWidth="1"/>
    <col min="47" max="47" width="6.42578125" hidden="1" customWidth="1"/>
    <col min="48" max="1025" width="10.5703125" customWidth="1"/>
  </cols>
  <sheetData>
    <row r="1" spans="1:47" x14ac:dyDescent="0.2">
      <c r="C1" s="1268" t="s">
        <v>113</v>
      </c>
      <c r="D1" s="1268"/>
      <c r="E1" s="1268"/>
      <c r="F1" s="1268"/>
      <c r="G1" s="1268"/>
      <c r="H1" s="1268"/>
      <c r="I1" s="1268"/>
      <c r="J1" s="1268"/>
      <c r="K1" s="1268"/>
      <c r="L1" s="1268"/>
      <c r="M1" s="1268"/>
      <c r="N1" s="1268"/>
      <c r="O1" s="1268"/>
      <c r="P1" s="1268"/>
      <c r="Q1" s="1268"/>
      <c r="R1" s="1268"/>
      <c r="S1" s="1268"/>
      <c r="T1" s="1268"/>
      <c r="U1" s="1268"/>
      <c r="V1" s="1268"/>
      <c r="W1" s="1268"/>
      <c r="X1" s="1268"/>
      <c r="Z1" s="1268" t="s">
        <v>45</v>
      </c>
      <c r="AA1" s="1268"/>
      <c r="AB1" s="1268"/>
      <c r="AC1" s="1268"/>
      <c r="AD1" s="1268"/>
      <c r="AE1" s="1268"/>
      <c r="AF1" s="1268"/>
      <c r="AG1" s="1268"/>
      <c r="AH1" s="1268"/>
      <c r="AI1" s="1268"/>
      <c r="AJ1" s="1268"/>
      <c r="AK1" s="1268"/>
      <c r="AL1" s="1268"/>
      <c r="AM1" s="1268"/>
      <c r="AN1" s="1268"/>
      <c r="AO1" s="1268"/>
      <c r="AP1" s="1268"/>
      <c r="AQ1" s="1268"/>
      <c r="AR1" s="1268"/>
      <c r="AS1" s="1268"/>
      <c r="AT1" s="1268"/>
      <c r="AU1" s="1268"/>
    </row>
    <row r="2" spans="1:47" x14ac:dyDescent="0.2"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1268"/>
      <c r="P2" s="1268"/>
      <c r="Q2" s="1268"/>
      <c r="R2" s="1268"/>
      <c r="S2" s="1268"/>
      <c r="T2" s="1268"/>
      <c r="U2" s="1268"/>
      <c r="V2" s="1268"/>
      <c r="W2" s="1268"/>
      <c r="X2" s="1268"/>
      <c r="Z2" s="1268"/>
      <c r="AA2" s="1268"/>
      <c r="AB2" s="1268"/>
      <c r="AC2" s="1268"/>
      <c r="AD2" s="1268"/>
      <c r="AE2" s="1268"/>
      <c r="AF2" s="1268"/>
      <c r="AG2" s="1268"/>
      <c r="AH2" s="1268"/>
      <c r="AI2" s="1268"/>
      <c r="AJ2" s="1268"/>
      <c r="AK2" s="1268"/>
      <c r="AL2" s="1268"/>
      <c r="AM2" s="1268"/>
      <c r="AN2" s="1268"/>
      <c r="AO2" s="1268"/>
      <c r="AP2" s="1268"/>
      <c r="AQ2" s="1268"/>
      <c r="AR2" s="1268"/>
      <c r="AS2" s="1268"/>
      <c r="AT2" s="1268"/>
      <c r="AU2" s="1268"/>
    </row>
    <row r="3" spans="1:47" ht="21" thickBot="1" x14ac:dyDescent="0.25">
      <c r="A3" s="1" t="s">
        <v>114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26.75" customHeight="1" thickBot="1" x14ac:dyDescent="0.25">
      <c r="A4" s="2"/>
      <c r="B4" s="3"/>
      <c r="C4" s="4" t="str">
        <f>'Budget analytique'!C6</f>
        <v>Assemblée Générale</v>
      </c>
      <c r="D4" s="5" t="s">
        <v>15</v>
      </c>
      <c r="E4" s="5" t="str">
        <f>'Budget analytique'!C8</f>
        <v>Comité régional</v>
      </c>
      <c r="F4" s="5" t="str">
        <f>'Budget analytique'!C9</f>
        <v>Congrès régional</v>
      </c>
      <c r="G4" s="6" t="str">
        <f>'Budget analytique'!C10</f>
        <v>Equipe régionale</v>
      </c>
      <c r="H4" s="978" t="str">
        <f>'Budget analytique'!C13</f>
        <v>Formations des bénévoles (hors BAFA-BAFD)</v>
      </c>
      <c r="I4" s="979" t="str">
        <f>'Budget analytique'!C14</f>
        <v>Formations des salariés</v>
      </c>
      <c r="J4" s="980" t="str">
        <f>'Budget analytique'!C15</f>
        <v>Formations des services civiques</v>
      </c>
      <c r="K4" s="980" t="str">
        <f>'Budget analytique'!C16</f>
        <v>Mini-séjours et rassemblements régionaux</v>
      </c>
      <c r="L4" s="980" t="str">
        <f>'Budget analytique'!C17</f>
        <v>Rassemblements nationaux</v>
      </c>
      <c r="M4" s="981" t="str">
        <f>'Budget analytique'!C20</f>
        <v>Formations BAFA-BAFD</v>
      </c>
      <c r="N4" s="981" t="str">
        <f>'Budget analytique'!C21</f>
        <v>Croq'nature</v>
      </c>
      <c r="O4" s="981" t="str">
        <f>'Budget analytique'!C22</f>
        <v>Séjours ouverts</v>
      </c>
      <c r="P4" s="981" t="str">
        <f>'Budget analytique'!C23</f>
        <v>Séjours adaptés</v>
      </c>
      <c r="Q4" s="981" t="str">
        <f>'Budget analytique'!C24</f>
        <v>Ecole</v>
      </c>
      <c r="R4" s="981" t="str">
        <f>'Budget analytique'!C25</f>
        <v>Autres activités</v>
      </c>
      <c r="S4" s="982" t="str">
        <f>'Budget analytique'!C28</f>
        <v>Fonctionnement (charges et produits indirects)</v>
      </c>
      <c r="T4" s="982" t="str">
        <f>'Budget analytique'!C29</f>
        <v>Subventions</v>
      </c>
      <c r="U4" s="983" t="str">
        <f>'Budget analytique'!C32</f>
        <v>Accueil gestion complète en dur</v>
      </c>
      <c r="V4" s="983" t="str">
        <f>'Budget analytique'!C33</f>
        <v>Accueil gestion libre en dur</v>
      </c>
      <c r="W4" s="983" t="str">
        <f>'Budget analytique'!C34</f>
        <v>Accueil  gestion complète plein air</v>
      </c>
      <c r="X4" s="983" t="str">
        <f>'Budget analytique'!C35</f>
        <v>Accueil gestion libre plein air</v>
      </c>
      <c r="Y4" s="7"/>
      <c r="Z4" s="76" t="s">
        <v>14</v>
      </c>
      <c r="AA4" s="277" t="s">
        <v>15</v>
      </c>
      <c r="AB4" s="277" t="s">
        <v>47</v>
      </c>
      <c r="AC4" s="277" t="s">
        <v>17</v>
      </c>
      <c r="AD4" s="278" t="s">
        <v>18</v>
      </c>
      <c r="AE4" s="279" t="s">
        <v>48</v>
      </c>
      <c r="AF4" s="280" t="s">
        <v>22</v>
      </c>
      <c r="AG4" s="281" t="s">
        <v>23</v>
      </c>
      <c r="AH4" s="281" t="s">
        <v>24</v>
      </c>
      <c r="AI4" s="282" t="s">
        <v>25</v>
      </c>
      <c r="AJ4" s="283" t="s">
        <v>27</v>
      </c>
      <c r="AK4" s="284" t="s">
        <v>28</v>
      </c>
      <c r="AL4" s="284" t="s">
        <v>29</v>
      </c>
      <c r="AM4" s="284" t="s">
        <v>30</v>
      </c>
      <c r="AN4" s="284" t="s">
        <v>31</v>
      </c>
      <c r="AO4" s="285" t="s">
        <v>32</v>
      </c>
      <c r="AP4" s="286" t="s">
        <v>34</v>
      </c>
      <c r="AQ4" s="287" t="s">
        <v>49</v>
      </c>
      <c r="AR4" s="288" t="s">
        <v>37</v>
      </c>
      <c r="AS4" s="289" t="s">
        <v>50</v>
      </c>
      <c r="AT4" s="289" t="s">
        <v>51</v>
      </c>
      <c r="AU4" s="290" t="s">
        <v>40</v>
      </c>
    </row>
    <row r="5" spans="1:47" ht="12.75" thickBot="1" x14ac:dyDescent="0.25">
      <c r="A5" s="8">
        <v>60</v>
      </c>
      <c r="B5" s="9" t="s">
        <v>115</v>
      </c>
      <c r="C5" s="330">
        <f t="shared" ref="C5:X5" si="0">SUM(C6:C16)</f>
        <v>500</v>
      </c>
      <c r="D5" s="331">
        <f>SUM(D6:D16)</f>
        <v>170</v>
      </c>
      <c r="E5" s="331">
        <f t="shared" si="0"/>
        <v>0</v>
      </c>
      <c r="F5" s="331">
        <f t="shared" si="0"/>
        <v>1620</v>
      </c>
      <c r="G5" s="332">
        <f>SUM(G6:G16)</f>
        <v>300</v>
      </c>
      <c r="H5" s="302">
        <f t="shared" si="0"/>
        <v>1960</v>
      </c>
      <c r="I5" s="292">
        <f t="shared" si="0"/>
        <v>0</v>
      </c>
      <c r="J5" s="292">
        <f t="shared" si="0"/>
        <v>0</v>
      </c>
      <c r="K5" s="292">
        <f t="shared" si="0"/>
        <v>7000</v>
      </c>
      <c r="L5" s="293">
        <f t="shared" si="0"/>
        <v>0</v>
      </c>
      <c r="M5" s="338">
        <f t="shared" si="0"/>
        <v>3000</v>
      </c>
      <c r="N5" s="339">
        <f t="shared" si="0"/>
        <v>0</v>
      </c>
      <c r="O5" s="338">
        <f t="shared" si="0"/>
        <v>0</v>
      </c>
      <c r="P5" s="339">
        <f t="shared" si="0"/>
        <v>0</v>
      </c>
      <c r="Q5" s="338">
        <f t="shared" si="0"/>
        <v>0</v>
      </c>
      <c r="R5" s="336">
        <f t="shared" si="0"/>
        <v>0</v>
      </c>
      <c r="S5" s="355">
        <f t="shared" si="0"/>
        <v>50</v>
      </c>
      <c r="T5" s="356">
        <f>SUM(T6:T16)</f>
        <v>0</v>
      </c>
      <c r="U5" s="305">
        <f t="shared" si="0"/>
        <v>0</v>
      </c>
      <c r="V5" s="306">
        <f t="shared" si="0"/>
        <v>0</v>
      </c>
      <c r="W5" s="305">
        <f t="shared" si="0"/>
        <v>0</v>
      </c>
      <c r="X5" s="307">
        <f t="shared" si="0"/>
        <v>0</v>
      </c>
      <c r="Z5" s="10">
        <f t="shared" ref="Z5:AU5" si="1">SUM(Z6:Z16)</f>
        <v>720</v>
      </c>
      <c r="AA5" s="11">
        <f t="shared" si="1"/>
        <v>360</v>
      </c>
      <c r="AB5" s="11">
        <f t="shared" si="1"/>
        <v>0</v>
      </c>
      <c r="AC5" s="11">
        <f t="shared" si="1"/>
        <v>619.33000000000004</v>
      </c>
      <c r="AD5" s="12">
        <f t="shared" si="1"/>
        <v>300</v>
      </c>
      <c r="AE5" s="13">
        <f t="shared" si="1"/>
        <v>2000</v>
      </c>
      <c r="AF5" s="14">
        <f t="shared" si="1"/>
        <v>0</v>
      </c>
      <c r="AG5" s="14">
        <f t="shared" si="1"/>
        <v>0</v>
      </c>
      <c r="AH5" s="14">
        <f t="shared" si="1"/>
        <v>3880</v>
      </c>
      <c r="AI5" s="15">
        <f t="shared" si="1"/>
        <v>0</v>
      </c>
      <c r="AJ5" s="16">
        <f t="shared" si="1"/>
        <v>2240</v>
      </c>
      <c r="AK5" s="17">
        <f t="shared" si="1"/>
        <v>0</v>
      </c>
      <c r="AL5" s="16">
        <f t="shared" si="1"/>
        <v>7286</v>
      </c>
      <c r="AM5" s="17">
        <f t="shared" si="1"/>
        <v>0</v>
      </c>
      <c r="AN5" s="16">
        <f t="shared" si="1"/>
        <v>0</v>
      </c>
      <c r="AO5" s="18">
        <f t="shared" si="1"/>
        <v>0</v>
      </c>
      <c r="AP5" s="19">
        <f t="shared" si="1"/>
        <v>500</v>
      </c>
      <c r="AQ5" s="20">
        <f t="shared" si="1"/>
        <v>0</v>
      </c>
      <c r="AR5" s="21">
        <f t="shared" si="1"/>
        <v>0</v>
      </c>
      <c r="AS5" s="22">
        <f t="shared" si="1"/>
        <v>0</v>
      </c>
      <c r="AT5" s="21">
        <f t="shared" si="1"/>
        <v>0</v>
      </c>
      <c r="AU5" s="23">
        <f t="shared" si="1"/>
        <v>0</v>
      </c>
    </row>
    <row r="6" spans="1:47" ht="12" hidden="1" customHeight="1" x14ac:dyDescent="0.2">
      <c r="A6" s="24">
        <v>6040000</v>
      </c>
      <c r="B6" s="25" t="s">
        <v>116</v>
      </c>
      <c r="C6" s="438"/>
      <c r="D6" s="439"/>
      <c r="E6" s="439"/>
      <c r="F6" s="439"/>
      <c r="G6" s="440"/>
      <c r="H6" s="386"/>
      <c r="I6" s="387"/>
      <c r="J6" s="387"/>
      <c r="K6" s="387"/>
      <c r="L6" s="388"/>
      <c r="M6" s="340"/>
      <c r="N6" s="341"/>
      <c r="O6" s="341"/>
      <c r="P6" s="341"/>
      <c r="Q6" s="341"/>
      <c r="R6" s="342"/>
      <c r="S6" s="357"/>
      <c r="T6" s="358"/>
      <c r="U6" s="308"/>
      <c r="V6" s="309"/>
      <c r="W6" s="309"/>
      <c r="X6" s="310"/>
      <c r="Z6" s="898"/>
      <c r="AA6" s="899"/>
      <c r="AB6" s="899"/>
      <c r="AC6" s="899"/>
      <c r="AD6" s="900"/>
      <c r="AE6" s="984"/>
      <c r="AF6" s="902"/>
      <c r="AG6" s="902"/>
      <c r="AH6" s="902"/>
      <c r="AI6" s="903"/>
      <c r="AJ6" s="26"/>
      <c r="AK6" s="27"/>
      <c r="AL6" s="27"/>
      <c r="AM6" s="27"/>
      <c r="AN6" s="27"/>
      <c r="AO6" s="28"/>
      <c r="AP6" s="29"/>
      <c r="AQ6" s="30"/>
      <c r="AR6" s="31"/>
      <c r="AS6" s="32"/>
      <c r="AT6" s="32"/>
      <c r="AU6" s="33"/>
    </row>
    <row r="7" spans="1:47" hidden="1" x14ac:dyDescent="0.2">
      <c r="A7" s="34">
        <v>6040009</v>
      </c>
      <c r="B7" s="912" t="s">
        <v>117</v>
      </c>
      <c r="C7" s="441">
        <v>500</v>
      </c>
      <c r="D7" s="442">
        <f>2*85</f>
        <v>170</v>
      </c>
      <c r="E7" s="442"/>
      <c r="F7" s="442">
        <v>500</v>
      </c>
      <c r="G7" s="443"/>
      <c r="H7" s="389"/>
      <c r="I7" s="390"/>
      <c r="J7" s="390"/>
      <c r="K7" s="390"/>
      <c r="L7" s="391"/>
      <c r="M7" s="418"/>
      <c r="N7" s="419"/>
      <c r="O7" s="419"/>
      <c r="P7" s="419"/>
      <c r="Q7" s="419"/>
      <c r="R7" s="420"/>
      <c r="S7" s="441"/>
      <c r="T7" s="443"/>
      <c r="U7" s="402"/>
      <c r="V7" s="403"/>
      <c r="W7" s="403"/>
      <c r="X7" s="404"/>
      <c r="Z7" s="913">
        <f>6*120</f>
        <v>720</v>
      </c>
      <c r="AA7" s="914">
        <f>120*3</f>
        <v>360</v>
      </c>
      <c r="AB7" s="914"/>
      <c r="AC7" s="914"/>
      <c r="AD7" s="915"/>
      <c r="AE7" s="985"/>
      <c r="AF7" s="917"/>
      <c r="AG7" s="917"/>
      <c r="AH7" s="917"/>
      <c r="AI7" s="918"/>
      <c r="AJ7" s="986"/>
      <c r="AK7" s="987"/>
      <c r="AL7" s="987"/>
      <c r="AM7" s="987"/>
      <c r="AN7" s="987"/>
      <c r="AO7" s="988"/>
      <c r="AP7" s="913"/>
      <c r="AQ7" s="915"/>
      <c r="AR7" s="924"/>
      <c r="AS7" s="925"/>
      <c r="AT7" s="925"/>
      <c r="AU7" s="926"/>
    </row>
    <row r="8" spans="1:47" hidden="1" x14ac:dyDescent="0.2">
      <c r="A8" s="34">
        <v>6061000</v>
      </c>
      <c r="B8" s="912" t="s">
        <v>118</v>
      </c>
      <c r="C8" s="441"/>
      <c r="D8" s="442"/>
      <c r="E8" s="442"/>
      <c r="F8" s="442"/>
      <c r="G8" s="443"/>
      <c r="H8" s="389"/>
      <c r="I8" s="390"/>
      <c r="J8" s="390"/>
      <c r="K8" s="390">
        <v>100</v>
      </c>
      <c r="L8" s="391"/>
      <c r="M8" s="418"/>
      <c r="N8" s="419"/>
      <c r="O8" s="419"/>
      <c r="P8" s="419"/>
      <c r="Q8" s="419"/>
      <c r="R8" s="420"/>
      <c r="S8" s="441"/>
      <c r="T8" s="443"/>
      <c r="U8" s="402"/>
      <c r="V8" s="403"/>
      <c r="W8" s="403"/>
      <c r="X8" s="404"/>
      <c r="Z8" s="913"/>
      <c r="AA8" s="914"/>
      <c r="AB8" s="914"/>
      <c r="AC8" s="914"/>
      <c r="AD8" s="915"/>
      <c r="AE8" s="985"/>
      <c r="AF8" s="917"/>
      <c r="AG8" s="917"/>
      <c r="AH8" s="917"/>
      <c r="AI8" s="918"/>
      <c r="AJ8" s="986"/>
      <c r="AK8" s="987"/>
      <c r="AL8" s="987"/>
      <c r="AM8" s="987"/>
      <c r="AN8" s="987"/>
      <c r="AO8" s="988"/>
      <c r="AP8" s="913"/>
      <c r="AQ8" s="915"/>
      <c r="AR8" s="924"/>
      <c r="AS8" s="925"/>
      <c r="AT8" s="925"/>
      <c r="AU8" s="926"/>
    </row>
    <row r="9" spans="1:47" x14ac:dyDescent="0.2">
      <c r="A9" s="34">
        <v>6062000</v>
      </c>
      <c r="B9" s="912" t="s">
        <v>106</v>
      </c>
      <c r="C9" s="441"/>
      <c r="D9" s="442"/>
      <c r="E9" s="442"/>
      <c r="F9" s="442">
        <f>80*2*7</f>
        <v>1120</v>
      </c>
      <c r="G9" s="443">
        <v>300</v>
      </c>
      <c r="H9" s="389">
        <f>70*2*7*2</f>
        <v>1960</v>
      </c>
      <c r="I9" s="390"/>
      <c r="J9" s="390"/>
      <c r="K9" s="390">
        <f>300*3*7</f>
        <v>6300</v>
      </c>
      <c r="L9" s="391"/>
      <c r="M9" s="418">
        <v>2000</v>
      </c>
      <c r="N9" s="419"/>
      <c r="O9" s="419"/>
      <c r="P9" s="419"/>
      <c r="Q9" s="419"/>
      <c r="R9" s="420"/>
      <c r="S9" s="441"/>
      <c r="T9" s="443"/>
      <c r="U9" s="402"/>
      <c r="V9" s="403"/>
      <c r="W9" s="403"/>
      <c r="X9" s="404"/>
      <c r="Z9" s="913"/>
      <c r="AA9" s="914"/>
      <c r="AB9" s="914"/>
      <c r="AC9" s="914">
        <v>619.33000000000004</v>
      </c>
      <c r="AD9" s="915">
        <v>300</v>
      </c>
      <c r="AE9" s="985">
        <f>'OLD - BP Tremplins'!L15</f>
        <v>1680</v>
      </c>
      <c r="AF9" s="917"/>
      <c r="AG9" s="917"/>
      <c r="AH9" s="918">
        <f>'BP ROLDIR'!F15</f>
        <v>3680</v>
      </c>
      <c r="AI9" s="918"/>
      <c r="AJ9" s="986">
        <f>'Récap BAFA'!B3</f>
        <v>1785</v>
      </c>
      <c r="AK9" s="987"/>
      <c r="AL9" s="987">
        <f>'Récap séjours ouverts'!B3</f>
        <v>5278</v>
      </c>
      <c r="AM9" s="987"/>
      <c r="AN9" s="987"/>
      <c r="AO9" s="988"/>
      <c r="AP9" s="913"/>
      <c r="AQ9" s="915"/>
      <c r="AR9" s="924"/>
      <c r="AS9" s="925"/>
      <c r="AT9" s="925"/>
      <c r="AU9" s="926"/>
    </row>
    <row r="10" spans="1:47" x14ac:dyDescent="0.2">
      <c r="A10" s="34">
        <v>6063000</v>
      </c>
      <c r="B10" s="912" t="s">
        <v>107</v>
      </c>
      <c r="C10" s="441"/>
      <c r="D10" s="442"/>
      <c r="E10" s="442"/>
      <c r="F10" s="442"/>
      <c r="G10" s="443"/>
      <c r="H10" s="389"/>
      <c r="I10" s="390"/>
      <c r="J10" s="390"/>
      <c r="K10" s="390">
        <v>300</v>
      </c>
      <c r="L10" s="391"/>
      <c r="M10" s="418">
        <v>1000</v>
      </c>
      <c r="N10" s="419"/>
      <c r="O10" s="419"/>
      <c r="P10" s="419"/>
      <c r="Q10" s="419"/>
      <c r="R10" s="420"/>
      <c r="S10" s="441">
        <v>50</v>
      </c>
      <c r="T10" s="443"/>
      <c r="U10" s="402"/>
      <c r="V10" s="403"/>
      <c r="W10" s="403"/>
      <c r="X10" s="404"/>
      <c r="Z10" s="913"/>
      <c r="AA10" s="914"/>
      <c r="AB10" s="914"/>
      <c r="AC10" s="914"/>
      <c r="AD10" s="915"/>
      <c r="AE10" s="985">
        <f>'OLD - BP Tremplins'!L18</f>
        <v>320</v>
      </c>
      <c r="AF10" s="917"/>
      <c r="AG10" s="917"/>
      <c r="AH10" s="918">
        <f>'BP ROLDIR'!F17</f>
        <v>200</v>
      </c>
      <c r="AI10" s="918"/>
      <c r="AJ10" s="986">
        <f>'Récap BAFA'!B4</f>
        <v>355</v>
      </c>
      <c r="AK10" s="987"/>
      <c r="AL10" s="987">
        <f>'Récap séjours ouverts'!B4</f>
        <v>1608</v>
      </c>
      <c r="AM10" s="987"/>
      <c r="AN10" s="987"/>
      <c r="AO10" s="988"/>
      <c r="AP10" s="913">
        <f>'OLD BP Fonct'!C16</f>
        <v>500</v>
      </c>
      <c r="AQ10" s="915"/>
      <c r="AR10" s="924"/>
      <c r="AS10" s="925"/>
      <c r="AT10" s="925"/>
      <c r="AU10" s="926"/>
    </row>
    <row r="11" spans="1:47" x14ac:dyDescent="0.2">
      <c r="A11" s="34">
        <v>6064000</v>
      </c>
      <c r="B11" s="912" t="s">
        <v>119</v>
      </c>
      <c r="C11" s="441"/>
      <c r="D11" s="442"/>
      <c r="E11" s="442"/>
      <c r="F11" s="442"/>
      <c r="G11" s="443"/>
      <c r="H11" s="389"/>
      <c r="I11" s="390"/>
      <c r="J11" s="390"/>
      <c r="K11" s="390"/>
      <c r="L11" s="391"/>
      <c r="M11" s="418"/>
      <c r="N11" s="419"/>
      <c r="O11" s="419"/>
      <c r="P11" s="419"/>
      <c r="Q11" s="419"/>
      <c r="R11" s="420"/>
      <c r="S11" s="441"/>
      <c r="T11" s="443"/>
      <c r="U11" s="402"/>
      <c r="V11" s="403"/>
      <c r="W11" s="403"/>
      <c r="X11" s="404"/>
      <c r="Z11" s="913"/>
      <c r="AA11" s="914"/>
      <c r="AB11" s="914"/>
      <c r="AC11" s="914"/>
      <c r="AD11" s="915"/>
      <c r="AE11" s="985"/>
      <c r="AF11" s="917"/>
      <c r="AG11" s="917"/>
      <c r="AH11" s="917"/>
      <c r="AI11" s="918"/>
      <c r="AJ11" s="986"/>
      <c r="AK11" s="987"/>
      <c r="AL11" s="987"/>
      <c r="AM11" s="987"/>
      <c r="AN11" s="987"/>
      <c r="AO11" s="988"/>
      <c r="AP11" s="913"/>
      <c r="AQ11" s="915"/>
      <c r="AR11" s="924"/>
      <c r="AS11" s="925"/>
      <c r="AT11" s="925"/>
      <c r="AU11" s="926"/>
    </row>
    <row r="12" spans="1:47" x14ac:dyDescent="0.2">
      <c r="A12" s="34">
        <v>6065000</v>
      </c>
      <c r="B12" s="912" t="s">
        <v>108</v>
      </c>
      <c r="C12" s="441"/>
      <c r="D12" s="442"/>
      <c r="E12" s="442"/>
      <c r="F12" s="442"/>
      <c r="G12" s="443"/>
      <c r="H12" s="389"/>
      <c r="I12" s="390"/>
      <c r="J12" s="390"/>
      <c r="K12" s="390"/>
      <c r="L12" s="391"/>
      <c r="M12" s="418"/>
      <c r="N12" s="419"/>
      <c r="O12" s="419"/>
      <c r="P12" s="419"/>
      <c r="Q12" s="419"/>
      <c r="R12" s="420"/>
      <c r="S12" s="441"/>
      <c r="T12" s="443"/>
      <c r="U12" s="402"/>
      <c r="V12" s="403"/>
      <c r="W12" s="403"/>
      <c r="X12" s="404"/>
      <c r="Z12" s="913"/>
      <c r="AA12" s="914"/>
      <c r="AB12" s="914"/>
      <c r="AC12" s="914"/>
      <c r="AD12" s="915"/>
      <c r="AE12" s="985"/>
      <c r="AF12" s="917"/>
      <c r="AG12" s="917"/>
      <c r="AH12" s="917"/>
      <c r="AI12" s="918"/>
      <c r="AJ12" s="986">
        <f>'Récap BAFA'!B5</f>
        <v>100</v>
      </c>
      <c r="AK12" s="987"/>
      <c r="AL12" s="987">
        <f>'Récap séjours ouverts'!B5</f>
        <v>300</v>
      </c>
      <c r="AM12" s="987"/>
      <c r="AN12" s="987"/>
      <c r="AO12" s="988"/>
      <c r="AP12" s="913"/>
      <c r="AQ12" s="915"/>
      <c r="AR12" s="924"/>
      <c r="AS12" s="925"/>
      <c r="AT12" s="925"/>
      <c r="AU12" s="926"/>
    </row>
    <row r="13" spans="1:47" ht="12" customHeight="1" x14ac:dyDescent="0.2">
      <c r="A13" s="34">
        <v>6066000</v>
      </c>
      <c r="B13" s="912" t="s">
        <v>110</v>
      </c>
      <c r="C13" s="441"/>
      <c r="D13" s="442"/>
      <c r="E13" s="442"/>
      <c r="F13" s="442"/>
      <c r="G13" s="443"/>
      <c r="H13" s="389"/>
      <c r="I13" s="390"/>
      <c r="J13" s="390"/>
      <c r="K13" s="390"/>
      <c r="L13" s="391"/>
      <c r="M13" s="418"/>
      <c r="N13" s="419"/>
      <c r="O13" s="419"/>
      <c r="P13" s="419"/>
      <c r="Q13" s="419"/>
      <c r="R13" s="420"/>
      <c r="S13" s="441"/>
      <c r="T13" s="443"/>
      <c r="U13" s="402"/>
      <c r="V13" s="403"/>
      <c r="W13" s="403"/>
      <c r="X13" s="404"/>
      <c r="Z13" s="913"/>
      <c r="AA13" s="914"/>
      <c r="AB13" s="914"/>
      <c r="AC13" s="914"/>
      <c r="AD13" s="915"/>
      <c r="AE13" s="985"/>
      <c r="AF13" s="917"/>
      <c r="AG13" s="917"/>
      <c r="AH13" s="917"/>
      <c r="AI13" s="918"/>
      <c r="AJ13" s="986"/>
      <c r="AK13" s="987"/>
      <c r="AL13" s="987">
        <f>'Récap séjours ouverts'!B10</f>
        <v>100</v>
      </c>
      <c r="AM13" s="987"/>
      <c r="AN13" s="987"/>
      <c r="AO13" s="988"/>
      <c r="AP13" s="913"/>
      <c r="AQ13" s="915"/>
      <c r="AR13" s="924"/>
      <c r="AS13" s="925"/>
      <c r="AT13" s="925"/>
      <c r="AU13" s="926"/>
    </row>
    <row r="14" spans="1:47" x14ac:dyDescent="0.2">
      <c r="A14" s="34">
        <v>6068000</v>
      </c>
      <c r="B14" s="912" t="s">
        <v>120</v>
      </c>
      <c r="C14" s="441"/>
      <c r="D14" s="442"/>
      <c r="E14" s="442"/>
      <c r="F14" s="442"/>
      <c r="G14" s="443"/>
      <c r="H14" s="389"/>
      <c r="I14" s="390"/>
      <c r="J14" s="390"/>
      <c r="K14" s="390">
        <v>300</v>
      </c>
      <c r="L14" s="391"/>
      <c r="M14" s="418"/>
      <c r="N14" s="419"/>
      <c r="O14" s="419"/>
      <c r="P14" s="419"/>
      <c r="Q14" s="419"/>
      <c r="R14" s="420"/>
      <c r="S14" s="441"/>
      <c r="T14" s="443"/>
      <c r="U14" s="402"/>
      <c r="V14" s="403"/>
      <c r="W14" s="403"/>
      <c r="X14" s="404"/>
      <c r="Z14" s="913"/>
      <c r="AA14" s="914"/>
      <c r="AB14" s="914"/>
      <c r="AC14" s="914"/>
      <c r="AD14" s="915"/>
      <c r="AE14" s="985"/>
      <c r="AF14" s="917"/>
      <c r="AG14" s="917"/>
      <c r="AH14" s="917"/>
      <c r="AI14" s="918"/>
      <c r="AJ14" s="986"/>
      <c r="AK14" s="987"/>
      <c r="AL14" s="987"/>
      <c r="AM14" s="987"/>
      <c r="AN14" s="987"/>
      <c r="AO14" s="988"/>
      <c r="AP14" s="913"/>
      <c r="AQ14" s="915"/>
      <c r="AR14" s="924"/>
      <c r="AS14" s="925"/>
      <c r="AT14" s="925"/>
      <c r="AU14" s="926"/>
    </row>
    <row r="15" spans="1:47" x14ac:dyDescent="0.2">
      <c r="A15" s="34">
        <v>6070000</v>
      </c>
      <c r="B15" s="912" t="s">
        <v>121</v>
      </c>
      <c r="C15" s="441"/>
      <c r="D15" s="442"/>
      <c r="E15" s="442"/>
      <c r="F15" s="442"/>
      <c r="G15" s="443"/>
      <c r="H15" s="389"/>
      <c r="I15" s="390"/>
      <c r="J15" s="390"/>
      <c r="K15" s="390"/>
      <c r="L15" s="391"/>
      <c r="M15" s="418"/>
      <c r="N15" s="419"/>
      <c r="O15" s="419"/>
      <c r="P15" s="419"/>
      <c r="Q15" s="419"/>
      <c r="R15" s="420"/>
      <c r="S15" s="441"/>
      <c r="T15" s="443"/>
      <c r="U15" s="402"/>
      <c r="V15" s="403"/>
      <c r="W15" s="403"/>
      <c r="X15" s="404"/>
      <c r="Z15" s="913"/>
      <c r="AA15" s="914"/>
      <c r="AB15" s="914"/>
      <c r="AC15" s="914"/>
      <c r="AD15" s="915"/>
      <c r="AE15" s="985"/>
      <c r="AF15" s="917"/>
      <c r="AG15" s="917"/>
      <c r="AH15" s="917"/>
      <c r="AI15" s="918"/>
      <c r="AJ15" s="986"/>
      <c r="AK15" s="987"/>
      <c r="AL15" s="987"/>
      <c r="AM15" s="987"/>
      <c r="AN15" s="987"/>
      <c r="AO15" s="988"/>
      <c r="AP15" s="913"/>
      <c r="AQ15" s="915"/>
      <c r="AR15" s="924"/>
      <c r="AS15" s="925"/>
      <c r="AT15" s="925"/>
      <c r="AU15" s="926"/>
    </row>
    <row r="16" spans="1:47" ht="12.75" thickBot="1" x14ac:dyDescent="0.25">
      <c r="A16" s="989">
        <v>6070009</v>
      </c>
      <c r="B16" s="990" t="s">
        <v>122</v>
      </c>
      <c r="C16" s="444"/>
      <c r="D16" s="445"/>
      <c r="E16" s="445"/>
      <c r="F16" s="445"/>
      <c r="G16" s="446"/>
      <c r="H16" s="392"/>
      <c r="I16" s="393"/>
      <c r="J16" s="393"/>
      <c r="K16" s="393"/>
      <c r="L16" s="394"/>
      <c r="M16" s="421"/>
      <c r="N16" s="422"/>
      <c r="O16" s="422"/>
      <c r="P16" s="422"/>
      <c r="Q16" s="422"/>
      <c r="R16" s="423"/>
      <c r="S16" s="449"/>
      <c r="T16" s="450"/>
      <c r="U16" s="408"/>
      <c r="V16" s="409"/>
      <c r="W16" s="409"/>
      <c r="X16" s="410"/>
      <c r="Z16" s="937"/>
      <c r="AA16" s="938"/>
      <c r="AB16" s="938"/>
      <c r="AC16" s="938"/>
      <c r="AD16" s="939"/>
      <c r="AE16" s="991"/>
      <c r="AF16" s="941"/>
      <c r="AG16" s="941"/>
      <c r="AH16" s="941"/>
      <c r="AI16" s="942"/>
      <c r="AJ16" s="992"/>
      <c r="AK16" s="993"/>
      <c r="AL16" s="993"/>
      <c r="AM16" s="993"/>
      <c r="AN16" s="993"/>
      <c r="AO16" s="994"/>
      <c r="AP16" s="995"/>
      <c r="AQ16" s="996"/>
      <c r="AR16" s="997"/>
      <c r="AS16" s="998"/>
      <c r="AT16" s="998"/>
      <c r="AU16" s="999"/>
    </row>
    <row r="17" spans="1:47" ht="12.75" thickBot="1" x14ac:dyDescent="0.25">
      <c r="A17" s="8">
        <v>61</v>
      </c>
      <c r="B17" s="9" t="s">
        <v>123</v>
      </c>
      <c r="C17" s="330">
        <f t="shared" ref="C17:X17" si="2">SUM(C18:C27)</f>
        <v>0</v>
      </c>
      <c r="D17" s="331">
        <f>SUM(D18:D27)</f>
        <v>0</v>
      </c>
      <c r="E17" s="331">
        <f t="shared" si="2"/>
        <v>0</v>
      </c>
      <c r="F17" s="331">
        <f t="shared" si="2"/>
        <v>1000</v>
      </c>
      <c r="G17" s="332">
        <f t="shared" si="2"/>
        <v>0</v>
      </c>
      <c r="H17" s="302">
        <f t="shared" si="2"/>
        <v>2000</v>
      </c>
      <c r="I17" s="292">
        <f t="shared" si="2"/>
        <v>0</v>
      </c>
      <c r="J17" s="292">
        <f t="shared" si="2"/>
        <v>0</v>
      </c>
      <c r="K17" s="292">
        <f t="shared" si="2"/>
        <v>2000</v>
      </c>
      <c r="L17" s="293">
        <f t="shared" si="2"/>
        <v>0</v>
      </c>
      <c r="M17" s="343">
        <f t="shared" si="2"/>
        <v>4000</v>
      </c>
      <c r="N17" s="424">
        <f t="shared" si="2"/>
        <v>0</v>
      </c>
      <c r="O17" s="343">
        <f t="shared" si="2"/>
        <v>0</v>
      </c>
      <c r="P17" s="424">
        <f t="shared" si="2"/>
        <v>0</v>
      </c>
      <c r="Q17" s="343">
        <f t="shared" si="2"/>
        <v>0</v>
      </c>
      <c r="R17" s="425">
        <f t="shared" si="2"/>
        <v>250</v>
      </c>
      <c r="S17" s="359">
        <f t="shared" si="2"/>
        <v>5650</v>
      </c>
      <c r="T17" s="451">
        <f t="shared" si="2"/>
        <v>0</v>
      </c>
      <c r="U17" s="311">
        <f t="shared" si="2"/>
        <v>0</v>
      </c>
      <c r="V17" s="411">
        <f t="shared" si="2"/>
        <v>0</v>
      </c>
      <c r="W17" s="311">
        <f t="shared" si="2"/>
        <v>0</v>
      </c>
      <c r="X17" s="412">
        <f t="shared" si="2"/>
        <v>0</v>
      </c>
      <c r="Z17" s="10">
        <f t="shared" ref="Z17:AU17" si="3">SUM(Z18:Z27)</f>
        <v>0</v>
      </c>
      <c r="AA17" s="11">
        <f t="shared" si="3"/>
        <v>0</v>
      </c>
      <c r="AB17" s="11">
        <f t="shared" si="3"/>
        <v>0</v>
      </c>
      <c r="AC17" s="11">
        <f t="shared" si="3"/>
        <v>700</v>
      </c>
      <c r="AD17" s="12">
        <f t="shared" si="3"/>
        <v>0</v>
      </c>
      <c r="AE17" s="13">
        <f t="shared" si="3"/>
        <v>2000</v>
      </c>
      <c r="AF17" s="14">
        <f t="shared" si="3"/>
        <v>0</v>
      </c>
      <c r="AG17" s="14">
        <f t="shared" si="3"/>
        <v>0</v>
      </c>
      <c r="AH17" s="14">
        <f t="shared" si="3"/>
        <v>100</v>
      </c>
      <c r="AI17" s="15">
        <f t="shared" si="3"/>
        <v>0</v>
      </c>
      <c r="AJ17" s="35">
        <f t="shared" si="3"/>
        <v>5600</v>
      </c>
      <c r="AK17" s="1000">
        <f t="shared" si="3"/>
        <v>0</v>
      </c>
      <c r="AL17" s="35">
        <f t="shared" si="3"/>
        <v>3200</v>
      </c>
      <c r="AM17" s="1000">
        <f t="shared" si="3"/>
        <v>0</v>
      </c>
      <c r="AN17" s="35">
        <f t="shared" si="3"/>
        <v>0</v>
      </c>
      <c r="AO17" s="1001">
        <f t="shared" si="3"/>
        <v>0</v>
      </c>
      <c r="AP17" s="36">
        <f t="shared" si="3"/>
        <v>5536.05</v>
      </c>
      <c r="AQ17" s="1002">
        <f t="shared" si="3"/>
        <v>0</v>
      </c>
      <c r="AR17" s="37">
        <f t="shared" si="3"/>
        <v>0</v>
      </c>
      <c r="AS17" s="1003">
        <f t="shared" si="3"/>
        <v>0</v>
      </c>
      <c r="AT17" s="37">
        <f t="shared" si="3"/>
        <v>0</v>
      </c>
      <c r="AU17" s="1004">
        <f t="shared" si="3"/>
        <v>0</v>
      </c>
    </row>
    <row r="18" spans="1:47" x14ac:dyDescent="0.2">
      <c r="A18" s="24">
        <v>6132000</v>
      </c>
      <c r="B18" s="25" t="s">
        <v>124</v>
      </c>
      <c r="C18" s="438"/>
      <c r="D18" s="439"/>
      <c r="E18" s="439"/>
      <c r="F18" s="439"/>
      <c r="G18" s="440"/>
      <c r="H18" s="386">
        <v>0</v>
      </c>
      <c r="I18" s="387"/>
      <c r="J18" s="387"/>
      <c r="K18" s="387">
        <v>0</v>
      </c>
      <c r="L18" s="388"/>
      <c r="M18" s="340">
        <v>4000</v>
      </c>
      <c r="N18" s="341"/>
      <c r="O18" s="341"/>
      <c r="P18" s="341"/>
      <c r="Q18" s="341">
        <v>0</v>
      </c>
      <c r="R18" s="342"/>
      <c r="S18" s="357">
        <v>4320</v>
      </c>
      <c r="T18" s="358"/>
      <c r="U18" s="308"/>
      <c r="V18" s="309"/>
      <c r="W18" s="309"/>
      <c r="X18" s="310"/>
      <c r="Z18" s="898"/>
      <c r="AA18" s="899"/>
      <c r="AB18" s="899"/>
      <c r="AC18" s="899"/>
      <c r="AD18" s="900"/>
      <c r="AE18" s="984"/>
      <c r="AF18" s="902"/>
      <c r="AG18" s="902"/>
      <c r="AH18" s="902"/>
      <c r="AI18" s="903"/>
      <c r="AJ18" s="26"/>
      <c r="AK18" s="27"/>
      <c r="AL18" s="27"/>
      <c r="AM18" s="27"/>
      <c r="AN18" s="27"/>
      <c r="AO18" s="28"/>
      <c r="AP18" s="29">
        <f>+'OLD BP Fonct'!C2</f>
        <v>4320</v>
      </c>
      <c r="AQ18" s="30"/>
      <c r="AR18" s="31"/>
      <c r="AS18" s="32"/>
      <c r="AT18" s="32"/>
      <c r="AU18" s="33"/>
    </row>
    <row r="19" spans="1:47" x14ac:dyDescent="0.2">
      <c r="A19" s="34">
        <v>6132009</v>
      </c>
      <c r="B19" s="912" t="s">
        <v>109</v>
      </c>
      <c r="C19" s="441"/>
      <c r="D19" s="442"/>
      <c r="E19" s="442"/>
      <c r="F19" s="442">
        <v>1000</v>
      </c>
      <c r="G19" s="443"/>
      <c r="H19" s="389">
        <v>2000</v>
      </c>
      <c r="I19" s="390"/>
      <c r="J19" s="390"/>
      <c r="K19" s="390">
        <f>2000</f>
        <v>2000</v>
      </c>
      <c r="L19" s="391"/>
      <c r="M19" s="418"/>
      <c r="N19" s="419"/>
      <c r="O19" s="419"/>
      <c r="P19" s="419"/>
      <c r="Q19" s="419"/>
      <c r="R19" s="420" t="s">
        <v>125</v>
      </c>
      <c r="S19" s="441"/>
      <c r="T19" s="443"/>
      <c r="U19" s="402"/>
      <c r="V19" s="403"/>
      <c r="W19" s="403"/>
      <c r="X19" s="404"/>
      <c r="Z19" s="913"/>
      <c r="AA19" s="914"/>
      <c r="AB19" s="914"/>
      <c r="AC19" s="914">
        <v>700</v>
      </c>
      <c r="AD19" s="915"/>
      <c r="AE19" s="985">
        <f>'OLD - BP Tremplins'!L25</f>
        <v>2000</v>
      </c>
      <c r="AF19" s="917"/>
      <c r="AG19" s="917"/>
      <c r="AH19" s="918">
        <f>'BP ROLDIR'!F25</f>
        <v>100</v>
      </c>
      <c r="AI19" s="918"/>
      <c r="AJ19" s="986">
        <f>'Récap BAFA'!B6</f>
        <v>5600</v>
      </c>
      <c r="AK19" s="987"/>
      <c r="AL19" s="987">
        <f>'Récap séjours ouverts'!B6</f>
        <v>3200</v>
      </c>
      <c r="AM19" s="987"/>
      <c r="AN19" s="987"/>
      <c r="AO19" s="988"/>
      <c r="AP19" s="913"/>
      <c r="AQ19" s="915"/>
      <c r="AR19" s="924"/>
      <c r="AS19" s="925"/>
      <c r="AT19" s="925"/>
      <c r="AU19" s="926"/>
    </row>
    <row r="20" spans="1:47" x14ac:dyDescent="0.2">
      <c r="A20" s="34">
        <v>6135000</v>
      </c>
      <c r="B20" s="912" t="s">
        <v>126</v>
      </c>
      <c r="C20" s="441"/>
      <c r="D20" s="442"/>
      <c r="E20" s="442"/>
      <c r="F20" s="442"/>
      <c r="G20" s="443"/>
      <c r="H20" s="389"/>
      <c r="I20" s="390"/>
      <c r="J20" s="390"/>
      <c r="K20" s="390"/>
      <c r="L20" s="391"/>
      <c r="M20" s="418"/>
      <c r="N20" s="419"/>
      <c r="O20" s="419"/>
      <c r="P20" s="419"/>
      <c r="Q20" s="419"/>
      <c r="R20" s="420"/>
      <c r="S20" s="441"/>
      <c r="T20" s="443"/>
      <c r="U20" s="402"/>
      <c r="V20" s="403"/>
      <c r="W20" s="403"/>
      <c r="X20" s="404"/>
      <c r="Z20" s="913"/>
      <c r="AA20" s="914"/>
      <c r="AB20" s="914"/>
      <c r="AC20" s="914"/>
      <c r="AD20" s="915"/>
      <c r="AE20" s="985"/>
      <c r="AF20" s="917"/>
      <c r="AG20" s="917"/>
      <c r="AH20" s="917"/>
      <c r="AI20" s="918"/>
      <c r="AJ20" s="986"/>
      <c r="AK20" s="987"/>
      <c r="AL20" s="987"/>
      <c r="AM20" s="987"/>
      <c r="AN20" s="987"/>
      <c r="AO20" s="988"/>
      <c r="AP20" s="913"/>
      <c r="AQ20" s="915"/>
      <c r="AR20" s="924"/>
      <c r="AS20" s="925"/>
      <c r="AT20" s="925"/>
      <c r="AU20" s="926"/>
    </row>
    <row r="21" spans="1:47" ht="12" customHeight="1" x14ac:dyDescent="0.2">
      <c r="A21" s="34">
        <v>6135009</v>
      </c>
      <c r="B21" s="912" t="s">
        <v>127</v>
      </c>
      <c r="C21" s="441"/>
      <c r="D21" s="442"/>
      <c r="E21" s="442"/>
      <c r="F21" s="442"/>
      <c r="G21" s="443"/>
      <c r="H21" s="389"/>
      <c r="I21" s="390"/>
      <c r="J21" s="390"/>
      <c r="K21" s="390"/>
      <c r="L21" s="391"/>
      <c r="M21" s="418"/>
      <c r="N21" s="419"/>
      <c r="O21" s="419"/>
      <c r="P21" s="419"/>
      <c r="Q21" s="419"/>
      <c r="R21" s="420"/>
      <c r="S21" s="441"/>
      <c r="T21" s="443"/>
      <c r="U21" s="402"/>
      <c r="V21" s="403"/>
      <c r="W21" s="403"/>
      <c r="X21" s="404"/>
      <c r="Z21" s="913"/>
      <c r="AA21" s="914"/>
      <c r="AB21" s="914"/>
      <c r="AC21" s="914"/>
      <c r="AD21" s="915"/>
      <c r="AE21" s="985"/>
      <c r="AF21" s="917"/>
      <c r="AG21" s="917"/>
      <c r="AH21" s="917"/>
      <c r="AI21" s="918"/>
      <c r="AJ21" s="986"/>
      <c r="AK21" s="987"/>
      <c r="AL21" s="987"/>
      <c r="AM21" s="987"/>
      <c r="AN21" s="987"/>
      <c r="AO21" s="988"/>
      <c r="AP21" s="913"/>
      <c r="AQ21" s="915"/>
      <c r="AR21" s="924"/>
      <c r="AS21" s="925"/>
      <c r="AT21" s="925"/>
      <c r="AU21" s="926"/>
    </row>
    <row r="22" spans="1:47" x14ac:dyDescent="0.2">
      <c r="A22" s="34">
        <v>6140000</v>
      </c>
      <c r="B22" s="912" t="s">
        <v>128</v>
      </c>
      <c r="C22" s="441"/>
      <c r="D22" s="442"/>
      <c r="E22" s="442"/>
      <c r="F22" s="442"/>
      <c r="G22" s="443"/>
      <c r="H22" s="389"/>
      <c r="I22" s="390"/>
      <c r="J22" s="390"/>
      <c r="K22" s="390"/>
      <c r="L22" s="391"/>
      <c r="M22" s="418"/>
      <c r="N22" s="419"/>
      <c r="O22" s="419"/>
      <c r="P22" s="419"/>
      <c r="Q22" s="419"/>
      <c r="R22" s="420"/>
      <c r="S22" s="441"/>
      <c r="T22" s="443"/>
      <c r="U22" s="402"/>
      <c r="V22" s="403"/>
      <c r="W22" s="403"/>
      <c r="X22" s="404"/>
      <c r="Z22" s="913"/>
      <c r="AA22" s="914"/>
      <c r="AB22" s="914"/>
      <c r="AC22" s="914"/>
      <c r="AD22" s="915"/>
      <c r="AE22" s="985"/>
      <c r="AF22" s="917"/>
      <c r="AG22" s="917"/>
      <c r="AH22" s="917"/>
      <c r="AI22" s="918"/>
      <c r="AJ22" s="986"/>
      <c r="AK22" s="987"/>
      <c r="AL22" s="987"/>
      <c r="AM22" s="987"/>
      <c r="AN22" s="987"/>
      <c r="AO22" s="988"/>
      <c r="AP22" s="913"/>
      <c r="AQ22" s="915"/>
      <c r="AR22" s="924"/>
      <c r="AS22" s="925"/>
      <c r="AT22" s="925"/>
      <c r="AU22" s="926"/>
    </row>
    <row r="23" spans="1:47" x14ac:dyDescent="0.2">
      <c r="A23" s="34">
        <v>6150000</v>
      </c>
      <c r="B23" s="912" t="s">
        <v>129</v>
      </c>
      <c r="C23" s="441"/>
      <c r="D23" s="442"/>
      <c r="E23" s="442"/>
      <c r="F23" s="442"/>
      <c r="G23" s="443"/>
      <c r="H23" s="389"/>
      <c r="I23" s="390"/>
      <c r="J23" s="390"/>
      <c r="K23" s="390"/>
      <c r="L23" s="391"/>
      <c r="M23" s="418"/>
      <c r="N23" s="419"/>
      <c r="O23" s="419"/>
      <c r="P23" s="419"/>
      <c r="Q23" s="419"/>
      <c r="R23" s="420">
        <v>250</v>
      </c>
      <c r="S23" s="441"/>
      <c r="T23" s="443"/>
      <c r="U23" s="402"/>
      <c r="V23" s="403"/>
      <c r="W23" s="403"/>
      <c r="X23" s="404"/>
      <c r="Z23" s="913"/>
      <c r="AA23" s="914"/>
      <c r="AB23" s="914"/>
      <c r="AC23" s="914"/>
      <c r="AD23" s="915"/>
      <c r="AE23" s="985"/>
      <c r="AF23" s="917"/>
      <c r="AG23" s="917"/>
      <c r="AH23" s="917"/>
      <c r="AI23" s="918"/>
      <c r="AJ23" s="986"/>
      <c r="AK23" s="987"/>
      <c r="AL23" s="987"/>
      <c r="AM23" s="987"/>
      <c r="AN23" s="987"/>
      <c r="AO23" s="988"/>
      <c r="AP23" s="913">
        <f>+'OLD BP Fonct'!C10</f>
        <v>200</v>
      </c>
      <c r="AQ23" s="915"/>
      <c r="AR23" s="924"/>
      <c r="AS23" s="925"/>
      <c r="AT23" s="925"/>
      <c r="AU23" s="926"/>
    </row>
    <row r="24" spans="1:47" x14ac:dyDescent="0.2">
      <c r="A24" s="34">
        <v>6160000</v>
      </c>
      <c r="B24" s="912" t="s">
        <v>130</v>
      </c>
      <c r="C24" s="441"/>
      <c r="D24" s="442"/>
      <c r="E24" s="442"/>
      <c r="F24" s="442"/>
      <c r="G24" s="443"/>
      <c r="H24" s="389"/>
      <c r="I24" s="390"/>
      <c r="J24" s="390"/>
      <c r="K24" s="390"/>
      <c r="L24" s="391"/>
      <c r="M24" s="418"/>
      <c r="N24" s="419"/>
      <c r="O24" s="419"/>
      <c r="P24" s="419"/>
      <c r="Q24" s="419"/>
      <c r="R24" s="420"/>
      <c r="S24" s="441">
        <v>1330</v>
      </c>
      <c r="T24" s="443"/>
      <c r="U24" s="402"/>
      <c r="V24" s="403"/>
      <c r="W24" s="403"/>
      <c r="X24" s="404"/>
      <c r="Z24" s="913"/>
      <c r="AA24" s="914"/>
      <c r="AB24" s="914"/>
      <c r="AC24" s="914"/>
      <c r="AD24" s="915"/>
      <c r="AE24" s="985"/>
      <c r="AF24" s="917"/>
      <c r="AG24" s="917"/>
      <c r="AH24" s="917"/>
      <c r="AI24" s="918"/>
      <c r="AJ24" s="986"/>
      <c r="AK24" s="987"/>
      <c r="AL24" s="987"/>
      <c r="AM24" s="987"/>
      <c r="AN24" s="987"/>
      <c r="AO24" s="988"/>
      <c r="AP24" s="913">
        <f>'OLD BP Fonct'!C8+'OLD BP Fonct'!C4</f>
        <v>1016.05</v>
      </c>
      <c r="AQ24" s="915"/>
      <c r="AR24" s="924"/>
      <c r="AS24" s="925"/>
      <c r="AT24" s="925"/>
      <c r="AU24" s="926"/>
    </row>
    <row r="25" spans="1:47" x14ac:dyDescent="0.2">
      <c r="A25" s="34">
        <v>6180000</v>
      </c>
      <c r="B25" s="912" t="s">
        <v>131</v>
      </c>
      <c r="C25" s="441"/>
      <c r="D25" s="442"/>
      <c r="E25" s="442"/>
      <c r="F25" s="442"/>
      <c r="G25" s="443"/>
      <c r="H25" s="389"/>
      <c r="I25" s="390"/>
      <c r="J25" s="390"/>
      <c r="K25" s="390"/>
      <c r="L25" s="391"/>
      <c r="M25" s="418"/>
      <c r="N25" s="419"/>
      <c r="O25" s="419"/>
      <c r="P25" s="419"/>
      <c r="Q25" s="419"/>
      <c r="R25" s="420"/>
      <c r="S25" s="441"/>
      <c r="T25" s="443"/>
      <c r="U25" s="402"/>
      <c r="V25" s="403"/>
      <c r="W25" s="403"/>
      <c r="X25" s="404"/>
      <c r="Z25" s="913"/>
      <c r="AA25" s="914"/>
      <c r="AB25" s="914"/>
      <c r="AC25" s="914"/>
      <c r="AD25" s="915"/>
      <c r="AE25" s="985"/>
      <c r="AF25" s="917"/>
      <c r="AG25" s="917"/>
      <c r="AH25" s="917"/>
      <c r="AI25" s="918"/>
      <c r="AJ25" s="986"/>
      <c r="AK25" s="987"/>
      <c r="AL25" s="987"/>
      <c r="AM25" s="987"/>
      <c r="AN25" s="987"/>
      <c r="AO25" s="988"/>
      <c r="AP25" s="913"/>
      <c r="AQ25" s="915"/>
      <c r="AR25" s="924"/>
      <c r="AS25" s="925"/>
      <c r="AT25" s="925"/>
      <c r="AU25" s="926"/>
    </row>
    <row r="26" spans="1:47" x14ac:dyDescent="0.2">
      <c r="A26" s="34">
        <v>6180009</v>
      </c>
      <c r="B26" s="912" t="s">
        <v>132</v>
      </c>
      <c r="C26" s="441"/>
      <c r="D26" s="442"/>
      <c r="E26" s="442"/>
      <c r="F26" s="442"/>
      <c r="G26" s="443"/>
      <c r="H26" s="389"/>
      <c r="I26" s="390"/>
      <c r="J26" s="390"/>
      <c r="K26" s="390"/>
      <c r="L26" s="391"/>
      <c r="M26" s="418"/>
      <c r="N26" s="419"/>
      <c r="O26" s="419"/>
      <c r="P26" s="419"/>
      <c r="Q26" s="419"/>
      <c r="R26" s="420"/>
      <c r="S26" s="441"/>
      <c r="T26" s="443"/>
      <c r="U26" s="402"/>
      <c r="V26" s="403"/>
      <c r="W26" s="403"/>
      <c r="X26" s="404"/>
      <c r="Z26" s="913"/>
      <c r="AA26" s="914"/>
      <c r="AB26" s="914"/>
      <c r="AC26" s="914"/>
      <c r="AD26" s="915"/>
      <c r="AE26" s="985"/>
      <c r="AF26" s="917"/>
      <c r="AG26" s="917"/>
      <c r="AH26" s="917"/>
      <c r="AI26" s="918"/>
      <c r="AJ26" s="986"/>
      <c r="AK26" s="987"/>
      <c r="AL26" s="987"/>
      <c r="AM26" s="987"/>
      <c r="AN26" s="987"/>
      <c r="AO26" s="988"/>
      <c r="AP26" s="913"/>
      <c r="AQ26" s="915"/>
      <c r="AR26" s="924"/>
      <c r="AS26" s="925"/>
      <c r="AT26" s="925"/>
      <c r="AU26" s="926"/>
    </row>
    <row r="27" spans="1:47" ht="12.75" thickBot="1" x14ac:dyDescent="0.25">
      <c r="A27" s="989">
        <v>6183000</v>
      </c>
      <c r="B27" s="990" t="s">
        <v>133</v>
      </c>
      <c r="C27" s="444"/>
      <c r="D27" s="445"/>
      <c r="E27" s="445"/>
      <c r="F27" s="445"/>
      <c r="G27" s="446"/>
      <c r="H27" s="392"/>
      <c r="I27" s="393"/>
      <c r="J27" s="393"/>
      <c r="K27" s="393"/>
      <c r="L27" s="394"/>
      <c r="M27" s="421"/>
      <c r="N27" s="422"/>
      <c r="O27" s="422"/>
      <c r="P27" s="422"/>
      <c r="Q27" s="422"/>
      <c r="R27" s="423"/>
      <c r="S27" s="449"/>
      <c r="T27" s="450"/>
      <c r="U27" s="408"/>
      <c r="V27" s="409"/>
      <c r="W27" s="409"/>
      <c r="X27" s="410"/>
      <c r="Z27" s="937"/>
      <c r="AA27" s="938"/>
      <c r="AB27" s="938"/>
      <c r="AC27" s="938"/>
      <c r="AD27" s="939"/>
      <c r="AE27" s="991"/>
      <c r="AF27" s="941"/>
      <c r="AG27" s="941"/>
      <c r="AH27" s="941"/>
      <c r="AI27" s="942"/>
      <c r="AJ27" s="992"/>
      <c r="AK27" s="993"/>
      <c r="AL27" s="993"/>
      <c r="AM27" s="993"/>
      <c r="AN27" s="993"/>
      <c r="AO27" s="994"/>
      <c r="AP27" s="995"/>
      <c r="AQ27" s="996"/>
      <c r="AR27" s="997"/>
      <c r="AS27" s="998"/>
      <c r="AT27" s="998"/>
      <c r="AU27" s="999"/>
    </row>
    <row r="28" spans="1:47" ht="12.75" thickBot="1" x14ac:dyDescent="0.25">
      <c r="A28" s="8">
        <v>62</v>
      </c>
      <c r="B28" s="9" t="s">
        <v>134</v>
      </c>
      <c r="C28" s="330">
        <f t="shared" ref="C28:X28" si="4">SUM(C29:C36)</f>
        <v>0</v>
      </c>
      <c r="D28" s="331">
        <f t="shared" si="4"/>
        <v>0</v>
      </c>
      <c r="E28" s="331">
        <f t="shared" si="4"/>
        <v>0</v>
      </c>
      <c r="F28" s="331">
        <f t="shared" si="4"/>
        <v>1059</v>
      </c>
      <c r="G28" s="332">
        <f t="shared" si="4"/>
        <v>500</v>
      </c>
      <c r="H28" s="302">
        <f t="shared" si="4"/>
        <v>2000</v>
      </c>
      <c r="I28" s="292">
        <f t="shared" si="4"/>
        <v>0</v>
      </c>
      <c r="J28" s="292">
        <f t="shared" si="4"/>
        <v>0</v>
      </c>
      <c r="K28" s="292">
        <f t="shared" si="4"/>
        <v>6000</v>
      </c>
      <c r="L28" s="303">
        <f t="shared" si="4"/>
        <v>0</v>
      </c>
      <c r="M28" s="343">
        <f t="shared" si="4"/>
        <v>600</v>
      </c>
      <c r="N28" s="424">
        <f t="shared" si="4"/>
        <v>0</v>
      </c>
      <c r="O28" s="343">
        <f t="shared" si="4"/>
        <v>0</v>
      </c>
      <c r="P28" s="424">
        <f t="shared" si="4"/>
        <v>0</v>
      </c>
      <c r="Q28" s="343">
        <f t="shared" si="4"/>
        <v>0</v>
      </c>
      <c r="R28" s="424">
        <f t="shared" si="4"/>
        <v>0</v>
      </c>
      <c r="S28" s="360">
        <f t="shared" si="4"/>
        <v>125</v>
      </c>
      <c r="T28" s="451">
        <f t="shared" si="4"/>
        <v>0</v>
      </c>
      <c r="U28" s="311">
        <f t="shared" si="4"/>
        <v>0</v>
      </c>
      <c r="V28" s="411">
        <f t="shared" si="4"/>
        <v>0</v>
      </c>
      <c r="W28" s="311">
        <f t="shared" si="4"/>
        <v>0</v>
      </c>
      <c r="X28" s="412">
        <f t="shared" si="4"/>
        <v>0</v>
      </c>
      <c r="Z28" s="10">
        <f t="shared" ref="Z28:AU28" si="5">SUM(Z29:Z36)</f>
        <v>0</v>
      </c>
      <c r="AA28" s="11">
        <f t="shared" si="5"/>
        <v>0</v>
      </c>
      <c r="AB28" s="11">
        <f t="shared" si="5"/>
        <v>0</v>
      </c>
      <c r="AC28" s="11">
        <f t="shared" si="5"/>
        <v>670</v>
      </c>
      <c r="AD28" s="12">
        <f t="shared" si="5"/>
        <v>500</v>
      </c>
      <c r="AE28" s="13">
        <f t="shared" si="5"/>
        <v>2000</v>
      </c>
      <c r="AF28" s="14">
        <f t="shared" si="5"/>
        <v>0</v>
      </c>
      <c r="AG28" s="14">
        <f t="shared" si="5"/>
        <v>0</v>
      </c>
      <c r="AH28" s="14">
        <f t="shared" si="5"/>
        <v>8700</v>
      </c>
      <c r="AI28" s="38">
        <f t="shared" si="5"/>
        <v>0</v>
      </c>
      <c r="AJ28" s="35">
        <f t="shared" si="5"/>
        <v>200</v>
      </c>
      <c r="AK28" s="1000">
        <f t="shared" si="5"/>
        <v>0</v>
      </c>
      <c r="AL28" s="35">
        <f t="shared" si="5"/>
        <v>100</v>
      </c>
      <c r="AM28" s="1000">
        <f t="shared" si="5"/>
        <v>0</v>
      </c>
      <c r="AN28" s="35">
        <f t="shared" si="5"/>
        <v>0</v>
      </c>
      <c r="AO28" s="1000">
        <f t="shared" si="5"/>
        <v>0</v>
      </c>
      <c r="AP28" s="39">
        <f t="shared" si="5"/>
        <v>175</v>
      </c>
      <c r="AQ28" s="1002">
        <f t="shared" si="5"/>
        <v>0</v>
      </c>
      <c r="AR28" s="37">
        <f t="shared" si="5"/>
        <v>0</v>
      </c>
      <c r="AS28" s="1003">
        <f t="shared" si="5"/>
        <v>0</v>
      </c>
      <c r="AT28" s="37">
        <f t="shared" si="5"/>
        <v>0</v>
      </c>
      <c r="AU28" s="1004">
        <f t="shared" si="5"/>
        <v>0</v>
      </c>
    </row>
    <row r="29" spans="1:47" ht="12" customHeight="1" x14ac:dyDescent="0.2">
      <c r="A29" s="24">
        <v>6226000</v>
      </c>
      <c r="B29" s="25" t="s">
        <v>135</v>
      </c>
      <c r="C29" s="438"/>
      <c r="D29" s="439"/>
      <c r="E29" s="439"/>
      <c r="F29" s="439"/>
      <c r="G29" s="440"/>
      <c r="H29" s="386"/>
      <c r="I29" s="387"/>
      <c r="J29" s="387"/>
      <c r="K29" s="387"/>
      <c r="L29" s="388"/>
      <c r="M29" s="340"/>
      <c r="N29" s="341"/>
      <c r="O29" s="341"/>
      <c r="P29" s="341"/>
      <c r="Q29" s="341"/>
      <c r="R29" s="342"/>
      <c r="S29" s="357"/>
      <c r="T29" s="358"/>
      <c r="U29" s="308"/>
      <c r="V29" s="309"/>
      <c r="W29" s="309"/>
      <c r="X29" s="310"/>
      <c r="Z29" s="898"/>
      <c r="AA29" s="899"/>
      <c r="AB29" s="899"/>
      <c r="AC29" s="899"/>
      <c r="AD29" s="900"/>
      <c r="AE29" s="984"/>
      <c r="AF29" s="902"/>
      <c r="AG29" s="902"/>
      <c r="AH29" s="902"/>
      <c r="AI29" s="903"/>
      <c r="AJ29" s="26"/>
      <c r="AK29" s="27"/>
      <c r="AL29" s="27"/>
      <c r="AM29" s="27"/>
      <c r="AN29" s="27"/>
      <c r="AO29" s="28"/>
      <c r="AP29" s="29"/>
      <c r="AQ29" s="30"/>
      <c r="AR29" s="31"/>
      <c r="AS29" s="32"/>
      <c r="AT29" s="32"/>
      <c r="AU29" s="33"/>
    </row>
    <row r="30" spans="1:47" x14ac:dyDescent="0.2">
      <c r="A30" s="34">
        <v>6230000</v>
      </c>
      <c r="B30" s="912" t="s">
        <v>111</v>
      </c>
      <c r="C30" s="441"/>
      <c r="D30" s="442"/>
      <c r="E30" s="442"/>
      <c r="F30" s="442"/>
      <c r="G30" s="443"/>
      <c r="H30" s="389"/>
      <c r="I30" s="390"/>
      <c r="J30" s="390"/>
      <c r="K30" s="390"/>
      <c r="L30" s="391"/>
      <c r="M30" s="418"/>
      <c r="N30" s="419"/>
      <c r="O30" s="419"/>
      <c r="P30" s="419"/>
      <c r="Q30" s="419"/>
      <c r="R30" s="420"/>
      <c r="S30" s="441"/>
      <c r="T30" s="443"/>
      <c r="U30" s="402"/>
      <c r="V30" s="403"/>
      <c r="W30" s="403"/>
      <c r="X30" s="404"/>
      <c r="Z30" s="913"/>
      <c r="AA30" s="914"/>
      <c r="AB30" s="914"/>
      <c r="AC30" s="914"/>
      <c r="AD30" s="915"/>
      <c r="AE30" s="985"/>
      <c r="AF30" s="917"/>
      <c r="AG30" s="917"/>
      <c r="AH30" s="917"/>
      <c r="AI30" s="918"/>
      <c r="AJ30" s="986"/>
      <c r="AK30" s="987"/>
      <c r="AL30" s="987">
        <f>'Récap séjours ouverts'!B13</f>
        <v>100</v>
      </c>
      <c r="AM30" s="987"/>
      <c r="AN30" s="987"/>
      <c r="AO30" s="988"/>
      <c r="AP30" s="913"/>
      <c r="AQ30" s="915"/>
      <c r="AR30" s="924"/>
      <c r="AS30" s="925"/>
      <c r="AT30" s="925"/>
      <c r="AU30" s="926"/>
    </row>
    <row r="31" spans="1:47" x14ac:dyDescent="0.2">
      <c r="A31" s="34">
        <v>6230009</v>
      </c>
      <c r="B31" s="912" t="s">
        <v>136</v>
      </c>
      <c r="C31" s="441"/>
      <c r="D31" s="442"/>
      <c r="E31" s="442"/>
      <c r="F31" s="442"/>
      <c r="G31" s="443"/>
      <c r="H31" s="389"/>
      <c r="I31" s="390"/>
      <c r="J31" s="390"/>
      <c r="K31" s="390"/>
      <c r="L31" s="391"/>
      <c r="M31" s="418"/>
      <c r="N31" s="419"/>
      <c r="O31" s="419"/>
      <c r="P31" s="419"/>
      <c r="Q31" s="419"/>
      <c r="R31" s="420"/>
      <c r="S31" s="441"/>
      <c r="T31" s="443"/>
      <c r="U31" s="402"/>
      <c r="V31" s="403"/>
      <c r="W31" s="403"/>
      <c r="X31" s="404"/>
      <c r="Z31" s="913"/>
      <c r="AA31" s="914"/>
      <c r="AB31" s="914"/>
      <c r="AC31" s="914"/>
      <c r="AD31" s="915"/>
      <c r="AE31" s="985"/>
      <c r="AF31" s="917"/>
      <c r="AG31" s="917"/>
      <c r="AH31" s="917"/>
      <c r="AI31" s="918"/>
      <c r="AJ31" s="986"/>
      <c r="AK31" s="987"/>
      <c r="AL31" s="987"/>
      <c r="AM31" s="987"/>
      <c r="AN31" s="987"/>
      <c r="AO31" s="988"/>
      <c r="AP31" s="913"/>
      <c r="AQ31" s="915"/>
      <c r="AR31" s="924"/>
      <c r="AS31" s="925"/>
      <c r="AT31" s="925"/>
      <c r="AU31" s="926"/>
    </row>
    <row r="32" spans="1:47" x14ac:dyDescent="0.2">
      <c r="A32" s="34">
        <v>6240000</v>
      </c>
      <c r="B32" s="912" t="s">
        <v>137</v>
      </c>
      <c r="C32" s="441"/>
      <c r="D32" s="442"/>
      <c r="E32" s="442"/>
      <c r="F32" s="442">
        <v>1059</v>
      </c>
      <c r="G32" s="443"/>
      <c r="H32" s="389">
        <f>2000</f>
        <v>2000</v>
      </c>
      <c r="I32" s="390"/>
      <c r="J32" s="390"/>
      <c r="K32" s="390">
        <v>6000</v>
      </c>
      <c r="L32" s="391"/>
      <c r="M32" s="418"/>
      <c r="N32" s="419"/>
      <c r="O32" s="419"/>
      <c r="P32" s="419"/>
      <c r="Q32" s="419"/>
      <c r="R32" s="420"/>
      <c r="S32" s="441"/>
      <c r="T32" s="443"/>
      <c r="U32" s="402"/>
      <c r="V32" s="403"/>
      <c r="W32" s="403"/>
      <c r="X32" s="404"/>
      <c r="Z32" s="913"/>
      <c r="AA32" s="914"/>
      <c r="AB32" s="914"/>
      <c r="AC32" s="914">
        <v>670</v>
      </c>
      <c r="AD32" s="915"/>
      <c r="AE32" s="985"/>
      <c r="AF32" s="917"/>
      <c r="AG32" s="917"/>
      <c r="AH32" s="917"/>
      <c r="AI32" s="918"/>
      <c r="AJ32" s="986"/>
      <c r="AK32" s="987"/>
      <c r="AL32" s="987"/>
      <c r="AM32" s="987"/>
      <c r="AN32" s="987"/>
      <c r="AO32" s="988"/>
      <c r="AP32" s="913"/>
      <c r="AQ32" s="915"/>
      <c r="AR32" s="924"/>
      <c r="AS32" s="925"/>
      <c r="AT32" s="925"/>
      <c r="AU32" s="926"/>
    </row>
    <row r="33" spans="1:47" x14ac:dyDescent="0.2">
      <c r="A33" s="34">
        <v>6250000</v>
      </c>
      <c r="B33" s="912" t="s">
        <v>138</v>
      </c>
      <c r="C33" s="441"/>
      <c r="D33" s="442"/>
      <c r="E33" s="442"/>
      <c r="F33" s="442"/>
      <c r="G33" s="443">
        <v>500</v>
      </c>
      <c r="H33" s="389"/>
      <c r="I33" s="390"/>
      <c r="J33" s="390"/>
      <c r="K33" s="390"/>
      <c r="L33" s="391"/>
      <c r="M33" s="418">
        <v>600</v>
      </c>
      <c r="N33" s="419"/>
      <c r="O33" s="419"/>
      <c r="P33" s="419"/>
      <c r="Q33" s="419"/>
      <c r="R33" s="420"/>
      <c r="S33" s="441"/>
      <c r="T33" s="443"/>
      <c r="U33" s="402"/>
      <c r="V33" s="403"/>
      <c r="W33" s="403"/>
      <c r="X33" s="404"/>
      <c r="Z33" s="913"/>
      <c r="AA33" s="914"/>
      <c r="AB33" s="914"/>
      <c r="AC33" s="914"/>
      <c r="AD33" s="915">
        <v>500</v>
      </c>
      <c r="AE33" s="985">
        <f>'OLD - BP Tremplins'!L26</f>
        <v>2000</v>
      </c>
      <c r="AF33" s="917"/>
      <c r="AG33" s="917"/>
      <c r="AH33" s="918">
        <f>'BP ROLDIR'!F26</f>
        <v>8700</v>
      </c>
      <c r="AI33" s="918"/>
      <c r="AJ33" s="986">
        <f>'Récap BAFA'!B7</f>
        <v>200</v>
      </c>
      <c r="AK33" s="987"/>
      <c r="AL33" s="987"/>
      <c r="AM33" s="987"/>
      <c r="AN33" s="987"/>
      <c r="AO33" s="988"/>
      <c r="AP33" s="913"/>
      <c r="AQ33" s="915"/>
      <c r="AR33" s="924"/>
      <c r="AS33" s="925"/>
      <c r="AT33" s="925"/>
      <c r="AU33" s="926"/>
    </row>
    <row r="34" spans="1:47" x14ac:dyDescent="0.2">
      <c r="A34" s="34">
        <v>6260000</v>
      </c>
      <c r="B34" s="912" t="s">
        <v>139</v>
      </c>
      <c r="C34" s="441"/>
      <c r="D34" s="442"/>
      <c r="E34" s="442"/>
      <c r="F34" s="442"/>
      <c r="G34" s="443"/>
      <c r="H34" s="389"/>
      <c r="I34" s="390"/>
      <c r="J34" s="390"/>
      <c r="K34" s="390"/>
      <c r="L34" s="391"/>
      <c r="M34" s="418"/>
      <c r="N34" s="419"/>
      <c r="O34" s="419"/>
      <c r="P34" s="419"/>
      <c r="Q34" s="419"/>
      <c r="R34" s="420"/>
      <c r="S34" s="441"/>
      <c r="T34" s="443"/>
      <c r="U34" s="402"/>
      <c r="V34" s="403"/>
      <c r="W34" s="403"/>
      <c r="X34" s="404"/>
      <c r="Z34" s="913"/>
      <c r="AA34" s="914"/>
      <c r="AB34" s="914"/>
      <c r="AC34" s="914"/>
      <c r="AD34" s="915"/>
      <c r="AE34" s="985"/>
      <c r="AF34" s="917"/>
      <c r="AG34" s="917"/>
      <c r="AH34" s="917"/>
      <c r="AI34" s="918"/>
      <c r="AJ34" s="986"/>
      <c r="AK34" s="987"/>
      <c r="AL34" s="987"/>
      <c r="AM34" s="987"/>
      <c r="AN34" s="987"/>
      <c r="AO34" s="988"/>
      <c r="AP34" s="913">
        <f>'OLD BP Fonct'!C17</f>
        <v>120</v>
      </c>
      <c r="AQ34" s="915"/>
      <c r="AR34" s="924"/>
      <c r="AS34" s="925"/>
      <c r="AT34" s="925"/>
      <c r="AU34" s="926"/>
    </row>
    <row r="35" spans="1:47" x14ac:dyDescent="0.2">
      <c r="A35" s="34">
        <v>6270000</v>
      </c>
      <c r="B35" s="912" t="s">
        <v>140</v>
      </c>
      <c r="C35" s="441"/>
      <c r="D35" s="442"/>
      <c r="E35" s="442"/>
      <c r="F35" s="442"/>
      <c r="G35" s="443"/>
      <c r="H35" s="389"/>
      <c r="I35" s="390"/>
      <c r="J35" s="390"/>
      <c r="K35" s="390"/>
      <c r="L35" s="391"/>
      <c r="M35" s="418"/>
      <c r="N35" s="419"/>
      <c r="O35" s="419"/>
      <c r="P35" s="419"/>
      <c r="Q35" s="419"/>
      <c r="R35" s="420"/>
      <c r="S35" s="441">
        <v>55</v>
      </c>
      <c r="T35" s="443"/>
      <c r="U35" s="402"/>
      <c r="V35" s="403"/>
      <c r="W35" s="403"/>
      <c r="X35" s="404"/>
      <c r="Z35" s="913"/>
      <c r="AA35" s="914"/>
      <c r="AB35" s="914"/>
      <c r="AC35" s="914"/>
      <c r="AD35" s="915"/>
      <c r="AE35" s="985"/>
      <c r="AF35" s="917"/>
      <c r="AG35" s="917"/>
      <c r="AH35" s="917"/>
      <c r="AI35" s="918"/>
      <c r="AJ35" s="986"/>
      <c r="AK35" s="987"/>
      <c r="AL35" s="987"/>
      <c r="AM35" s="987"/>
      <c r="AN35" s="987"/>
      <c r="AO35" s="988"/>
      <c r="AP35" s="913">
        <f>+'OLD BP Fonct'!C15</f>
        <v>55</v>
      </c>
      <c r="AQ35" s="915"/>
      <c r="AR35" s="924"/>
      <c r="AS35" s="925"/>
      <c r="AT35" s="925"/>
      <c r="AU35" s="926"/>
    </row>
    <row r="36" spans="1:47" ht="12.75" thickBot="1" x14ac:dyDescent="0.25">
      <c r="A36" s="989">
        <v>6280000</v>
      </c>
      <c r="B36" s="990" t="s">
        <v>141</v>
      </c>
      <c r="C36" s="444"/>
      <c r="D36" s="445"/>
      <c r="E36" s="445"/>
      <c r="F36" s="445"/>
      <c r="G36" s="446"/>
      <c r="H36" s="392"/>
      <c r="I36" s="393"/>
      <c r="J36" s="393"/>
      <c r="K36" s="393"/>
      <c r="L36" s="394"/>
      <c r="M36" s="421"/>
      <c r="N36" s="422"/>
      <c r="O36" s="422"/>
      <c r="P36" s="422"/>
      <c r="Q36" s="422"/>
      <c r="R36" s="423"/>
      <c r="S36" s="449">
        <v>70</v>
      </c>
      <c r="T36" s="450"/>
      <c r="U36" s="408"/>
      <c r="V36" s="409"/>
      <c r="W36" s="409"/>
      <c r="X36" s="410"/>
      <c r="Z36" s="937"/>
      <c r="AA36" s="938"/>
      <c r="AB36" s="938"/>
      <c r="AC36" s="938"/>
      <c r="AD36" s="939"/>
      <c r="AE36" s="991"/>
      <c r="AF36" s="941"/>
      <c r="AG36" s="941"/>
      <c r="AH36" s="941"/>
      <c r="AI36" s="942"/>
      <c r="AJ36" s="992"/>
      <c r="AK36" s="993"/>
      <c r="AL36" s="993"/>
      <c r="AM36" s="993"/>
      <c r="AN36" s="993"/>
      <c r="AO36" s="994"/>
      <c r="AP36" s="995"/>
      <c r="AQ36" s="996"/>
      <c r="AR36" s="997"/>
      <c r="AS36" s="998"/>
      <c r="AT36" s="998"/>
      <c r="AU36" s="999"/>
    </row>
    <row r="37" spans="1:47" ht="12.75" thickBot="1" x14ac:dyDescent="0.25">
      <c r="A37" s="8">
        <v>63</v>
      </c>
      <c r="B37" s="9" t="s">
        <v>142</v>
      </c>
      <c r="C37" s="330">
        <f t="shared" ref="C37:X37" si="6">C38</f>
        <v>0</v>
      </c>
      <c r="D37" s="331">
        <f t="shared" si="6"/>
        <v>0</v>
      </c>
      <c r="E37" s="331">
        <f t="shared" si="6"/>
        <v>0</v>
      </c>
      <c r="F37" s="331">
        <f t="shared" si="6"/>
        <v>0</v>
      </c>
      <c r="G37" s="332">
        <f t="shared" si="6"/>
        <v>0</v>
      </c>
      <c r="H37" s="302">
        <f t="shared" si="6"/>
        <v>0</v>
      </c>
      <c r="I37" s="292">
        <f t="shared" si="6"/>
        <v>0</v>
      </c>
      <c r="J37" s="292">
        <f t="shared" si="6"/>
        <v>0</v>
      </c>
      <c r="K37" s="292">
        <f t="shared" si="6"/>
        <v>0</v>
      </c>
      <c r="L37" s="303">
        <f t="shared" si="6"/>
        <v>0</v>
      </c>
      <c r="M37" s="344">
        <f t="shared" si="6"/>
        <v>0</v>
      </c>
      <c r="N37" s="345">
        <f t="shared" si="6"/>
        <v>0</v>
      </c>
      <c r="O37" s="344">
        <f t="shared" si="6"/>
        <v>0</v>
      </c>
      <c r="P37" s="345">
        <f t="shared" si="6"/>
        <v>0</v>
      </c>
      <c r="Q37" s="344">
        <f t="shared" si="6"/>
        <v>0</v>
      </c>
      <c r="R37" s="345">
        <f t="shared" si="6"/>
        <v>0</v>
      </c>
      <c r="S37" s="361">
        <f t="shared" si="6"/>
        <v>0</v>
      </c>
      <c r="T37" s="362">
        <f t="shared" si="6"/>
        <v>0</v>
      </c>
      <c r="U37" s="312">
        <f t="shared" si="6"/>
        <v>0</v>
      </c>
      <c r="V37" s="313">
        <f t="shared" si="6"/>
        <v>0</v>
      </c>
      <c r="W37" s="312">
        <f t="shared" si="6"/>
        <v>0</v>
      </c>
      <c r="X37" s="314">
        <f t="shared" si="6"/>
        <v>0</v>
      </c>
      <c r="Z37" s="10">
        <f t="shared" ref="Z37:AU37" si="7">Z38</f>
        <v>0</v>
      </c>
      <c r="AA37" s="11">
        <f t="shared" si="7"/>
        <v>0</v>
      </c>
      <c r="AB37" s="11">
        <f t="shared" si="7"/>
        <v>0</v>
      </c>
      <c r="AC37" s="11">
        <f t="shared" si="7"/>
        <v>0</v>
      </c>
      <c r="AD37" s="12">
        <f t="shared" si="7"/>
        <v>0</v>
      </c>
      <c r="AE37" s="13">
        <f t="shared" si="7"/>
        <v>0</v>
      </c>
      <c r="AF37" s="14">
        <f t="shared" si="7"/>
        <v>0</v>
      </c>
      <c r="AG37" s="14">
        <f t="shared" si="7"/>
        <v>0</v>
      </c>
      <c r="AH37" s="14">
        <f t="shared" si="7"/>
        <v>0</v>
      </c>
      <c r="AI37" s="38">
        <f t="shared" si="7"/>
        <v>0</v>
      </c>
      <c r="AJ37" s="40">
        <f t="shared" si="7"/>
        <v>0</v>
      </c>
      <c r="AK37" s="41">
        <f t="shared" si="7"/>
        <v>0</v>
      </c>
      <c r="AL37" s="40">
        <f t="shared" si="7"/>
        <v>0</v>
      </c>
      <c r="AM37" s="41">
        <f t="shared" si="7"/>
        <v>0</v>
      </c>
      <c r="AN37" s="40">
        <f t="shared" si="7"/>
        <v>0</v>
      </c>
      <c r="AO37" s="41">
        <f t="shared" si="7"/>
        <v>0</v>
      </c>
      <c r="AP37" s="42">
        <f t="shared" si="7"/>
        <v>0</v>
      </c>
      <c r="AQ37" s="43">
        <f t="shared" si="7"/>
        <v>0</v>
      </c>
      <c r="AR37" s="44">
        <f t="shared" si="7"/>
        <v>0</v>
      </c>
      <c r="AS37" s="45">
        <f t="shared" si="7"/>
        <v>0</v>
      </c>
      <c r="AT37" s="44">
        <f t="shared" si="7"/>
        <v>0</v>
      </c>
      <c r="AU37" s="46">
        <f t="shared" si="7"/>
        <v>0</v>
      </c>
    </row>
    <row r="38" spans="1:47" ht="12.75" thickBot="1" x14ac:dyDescent="0.25">
      <c r="A38" s="47">
        <v>6370000</v>
      </c>
      <c r="B38" s="963" t="s">
        <v>143</v>
      </c>
      <c r="C38" s="333"/>
      <c r="D38" s="447"/>
      <c r="E38" s="447"/>
      <c r="F38" s="447"/>
      <c r="G38" s="448"/>
      <c r="H38" s="304"/>
      <c r="I38" s="395"/>
      <c r="J38" s="395"/>
      <c r="K38" s="395"/>
      <c r="L38" s="396"/>
      <c r="M38" s="346"/>
      <c r="N38" s="426"/>
      <c r="O38" s="346"/>
      <c r="P38" s="426"/>
      <c r="Q38" s="346"/>
      <c r="R38" s="426"/>
      <c r="S38" s="363"/>
      <c r="T38" s="452"/>
      <c r="U38" s="315"/>
      <c r="V38" s="415"/>
      <c r="W38" s="315"/>
      <c r="X38" s="414"/>
      <c r="Z38" s="48"/>
      <c r="AA38" s="964"/>
      <c r="AB38" s="964"/>
      <c r="AC38" s="964"/>
      <c r="AD38" s="965"/>
      <c r="AE38" s="49"/>
      <c r="AF38" s="966"/>
      <c r="AG38" s="966"/>
      <c r="AH38" s="966"/>
      <c r="AI38" s="1005"/>
      <c r="AJ38" s="50"/>
      <c r="AK38" s="1006"/>
      <c r="AL38" s="50"/>
      <c r="AM38" s="1006"/>
      <c r="AN38" s="50"/>
      <c r="AO38" s="1006"/>
      <c r="AP38" s="51"/>
      <c r="AQ38" s="970"/>
      <c r="AR38" s="52"/>
      <c r="AS38" s="1007"/>
      <c r="AT38" s="52"/>
      <c r="AU38" s="972"/>
    </row>
    <row r="39" spans="1:47" ht="12.75" thickBot="1" x14ac:dyDescent="0.25">
      <c r="A39" s="8">
        <v>64</v>
      </c>
      <c r="B39" s="9" t="s">
        <v>144</v>
      </c>
      <c r="C39" s="330">
        <f t="shared" ref="C39:X39" si="8">SUM(C40:C42)</f>
        <v>0</v>
      </c>
      <c r="D39" s="331">
        <f t="shared" si="8"/>
        <v>0</v>
      </c>
      <c r="E39" s="331">
        <f t="shared" si="8"/>
        <v>0</v>
      </c>
      <c r="F39" s="331">
        <f t="shared" si="8"/>
        <v>0</v>
      </c>
      <c r="G39" s="332">
        <f t="shared" si="8"/>
        <v>0</v>
      </c>
      <c r="H39" s="302">
        <f t="shared" si="8"/>
        <v>0</v>
      </c>
      <c r="I39" s="292">
        <f t="shared" si="8"/>
        <v>0</v>
      </c>
      <c r="J39" s="292">
        <f t="shared" si="8"/>
        <v>0</v>
      </c>
      <c r="K39" s="292">
        <f t="shared" si="8"/>
        <v>0</v>
      </c>
      <c r="L39" s="303">
        <f t="shared" si="8"/>
        <v>0</v>
      </c>
      <c r="M39" s="347">
        <f t="shared" si="8"/>
        <v>0</v>
      </c>
      <c r="N39" s="348">
        <f t="shared" si="8"/>
        <v>0</v>
      </c>
      <c r="O39" s="347">
        <f t="shared" si="8"/>
        <v>0</v>
      </c>
      <c r="P39" s="348">
        <f t="shared" si="8"/>
        <v>0</v>
      </c>
      <c r="Q39" s="347">
        <f t="shared" si="8"/>
        <v>0</v>
      </c>
      <c r="R39" s="348">
        <f t="shared" si="8"/>
        <v>0</v>
      </c>
      <c r="S39" s="364">
        <f t="shared" si="8"/>
        <v>9400</v>
      </c>
      <c r="T39" s="365">
        <f t="shared" si="8"/>
        <v>0</v>
      </c>
      <c r="U39" s="316">
        <f t="shared" si="8"/>
        <v>0</v>
      </c>
      <c r="V39" s="317">
        <f t="shared" si="8"/>
        <v>0</v>
      </c>
      <c r="W39" s="316">
        <f t="shared" si="8"/>
        <v>0</v>
      </c>
      <c r="X39" s="318">
        <f t="shared" si="8"/>
        <v>0</v>
      </c>
      <c r="Z39" s="10">
        <f t="shared" ref="Z39:AU39" si="9">SUM(Z40:Z42)</f>
        <v>0</v>
      </c>
      <c r="AA39" s="11">
        <f t="shared" si="9"/>
        <v>0</v>
      </c>
      <c r="AB39" s="11">
        <f t="shared" si="9"/>
        <v>0</v>
      </c>
      <c r="AC39" s="11">
        <f t="shared" si="9"/>
        <v>0</v>
      </c>
      <c r="AD39" s="12">
        <f t="shared" si="9"/>
        <v>0</v>
      </c>
      <c r="AE39" s="13">
        <f t="shared" si="9"/>
        <v>0</v>
      </c>
      <c r="AF39" s="14">
        <f t="shared" si="9"/>
        <v>0</v>
      </c>
      <c r="AG39" s="14">
        <f t="shared" si="9"/>
        <v>0</v>
      </c>
      <c r="AH39" s="14">
        <f t="shared" si="9"/>
        <v>0</v>
      </c>
      <c r="AI39" s="38">
        <f t="shared" si="9"/>
        <v>0</v>
      </c>
      <c r="AJ39" s="53">
        <f t="shared" si="9"/>
        <v>0</v>
      </c>
      <c r="AK39" s="54">
        <f t="shared" si="9"/>
        <v>0</v>
      </c>
      <c r="AL39" s="53">
        <f t="shared" si="9"/>
        <v>7950.8</v>
      </c>
      <c r="AM39" s="54">
        <f t="shared" si="9"/>
        <v>0</v>
      </c>
      <c r="AN39" s="53">
        <f t="shared" si="9"/>
        <v>0</v>
      </c>
      <c r="AO39" s="54">
        <f t="shared" si="9"/>
        <v>0</v>
      </c>
      <c r="AP39" s="55">
        <f t="shared" si="9"/>
        <v>9400</v>
      </c>
      <c r="AQ39" s="56">
        <f t="shared" si="9"/>
        <v>0</v>
      </c>
      <c r="AR39" s="57">
        <f t="shared" si="9"/>
        <v>0</v>
      </c>
      <c r="AS39" s="58">
        <f t="shared" si="9"/>
        <v>0</v>
      </c>
      <c r="AT39" s="57">
        <f t="shared" si="9"/>
        <v>0</v>
      </c>
      <c r="AU39" s="59">
        <f t="shared" si="9"/>
        <v>0</v>
      </c>
    </row>
    <row r="40" spans="1:47" x14ac:dyDescent="0.2">
      <c r="A40" s="24">
        <v>6410009</v>
      </c>
      <c r="B40" s="25" t="s">
        <v>112</v>
      </c>
      <c r="C40" s="438"/>
      <c r="D40" s="439"/>
      <c r="E40" s="439"/>
      <c r="F40" s="439"/>
      <c r="G40" s="440"/>
      <c r="H40" s="386"/>
      <c r="I40" s="387"/>
      <c r="J40" s="387"/>
      <c r="K40" s="387"/>
      <c r="L40" s="388"/>
      <c r="M40" s="340"/>
      <c r="N40" s="341"/>
      <c r="O40" s="341"/>
      <c r="P40" s="341"/>
      <c r="Q40" s="341"/>
      <c r="R40" s="342"/>
      <c r="S40" s="357">
        <v>9400</v>
      </c>
      <c r="T40" s="358"/>
      <c r="U40" s="308"/>
      <c r="V40" s="309"/>
      <c r="W40" s="309"/>
      <c r="X40" s="310"/>
      <c r="Z40" s="898"/>
      <c r="AA40" s="899"/>
      <c r="AB40" s="899"/>
      <c r="AC40" s="899"/>
      <c r="AD40" s="900"/>
      <c r="AE40" s="984"/>
      <c r="AF40" s="902"/>
      <c r="AG40" s="902"/>
      <c r="AH40" s="902"/>
      <c r="AI40" s="903"/>
      <c r="AJ40" s="26"/>
      <c r="AK40" s="27"/>
      <c r="AL40" s="27">
        <f>'Récap séjours ouverts'!B14</f>
        <v>7950.8</v>
      </c>
      <c r="AM40" s="27"/>
      <c r="AN40" s="27"/>
      <c r="AO40" s="28"/>
      <c r="AP40" s="29">
        <f>+'OLD BP Fonct'!C21</f>
        <v>9400</v>
      </c>
      <c r="AQ40" s="30"/>
      <c r="AR40" s="31"/>
      <c r="AS40" s="32"/>
      <c r="AT40" s="32"/>
      <c r="AU40" s="33"/>
    </row>
    <row r="41" spans="1:47" x14ac:dyDescent="0.2">
      <c r="A41" s="60">
        <v>6450009</v>
      </c>
      <c r="B41" s="974" t="s">
        <v>145</v>
      </c>
      <c r="C41" s="441"/>
      <c r="D41" s="442"/>
      <c r="E41" s="442"/>
      <c r="F41" s="442"/>
      <c r="G41" s="443"/>
      <c r="H41" s="389"/>
      <c r="I41" s="390"/>
      <c r="J41" s="390"/>
      <c r="K41" s="390"/>
      <c r="L41" s="391"/>
      <c r="M41" s="418"/>
      <c r="N41" s="419"/>
      <c r="O41" s="419"/>
      <c r="P41" s="419"/>
      <c r="Q41" s="419"/>
      <c r="R41" s="420"/>
      <c r="S41" s="441"/>
      <c r="T41" s="443"/>
      <c r="U41" s="402"/>
      <c r="V41" s="403"/>
      <c r="W41" s="403"/>
      <c r="X41" s="404"/>
      <c r="Z41" s="913"/>
      <c r="AA41" s="914"/>
      <c r="AB41" s="914"/>
      <c r="AC41" s="914"/>
      <c r="AD41" s="915"/>
      <c r="AE41" s="985"/>
      <c r="AF41" s="917"/>
      <c r="AG41" s="917"/>
      <c r="AH41" s="917"/>
      <c r="AI41" s="918"/>
      <c r="AJ41" s="986"/>
      <c r="AK41" s="987"/>
      <c r="AL41" s="987"/>
      <c r="AM41" s="987"/>
      <c r="AN41" s="987"/>
      <c r="AO41" s="988"/>
      <c r="AP41" s="913"/>
      <c r="AQ41" s="915"/>
      <c r="AR41" s="924"/>
      <c r="AS41" s="925"/>
      <c r="AT41" s="925"/>
      <c r="AU41" s="926"/>
    </row>
    <row r="42" spans="1:47" ht="12.75" thickBot="1" x14ac:dyDescent="0.25">
      <c r="A42" s="1008">
        <v>6480000</v>
      </c>
      <c r="B42" s="974" t="s">
        <v>146</v>
      </c>
      <c r="C42" s="444"/>
      <c r="D42" s="445"/>
      <c r="E42" s="445"/>
      <c r="F42" s="445"/>
      <c r="G42" s="446"/>
      <c r="H42" s="392"/>
      <c r="I42" s="393"/>
      <c r="J42" s="393"/>
      <c r="K42" s="393"/>
      <c r="L42" s="394"/>
      <c r="M42" s="421"/>
      <c r="N42" s="422"/>
      <c r="O42" s="422"/>
      <c r="P42" s="422"/>
      <c r="Q42" s="422"/>
      <c r="R42" s="423"/>
      <c r="S42" s="449"/>
      <c r="T42" s="450"/>
      <c r="U42" s="408"/>
      <c r="V42" s="409"/>
      <c r="W42" s="409"/>
      <c r="X42" s="410"/>
      <c r="Z42" s="937"/>
      <c r="AA42" s="938"/>
      <c r="AB42" s="938"/>
      <c r="AC42" s="938"/>
      <c r="AD42" s="939"/>
      <c r="AE42" s="991"/>
      <c r="AF42" s="941"/>
      <c r="AG42" s="941"/>
      <c r="AH42" s="941"/>
      <c r="AI42" s="942"/>
      <c r="AJ42" s="992"/>
      <c r="AK42" s="993"/>
      <c r="AL42" s="993"/>
      <c r="AM42" s="993"/>
      <c r="AN42" s="993"/>
      <c r="AO42" s="994"/>
      <c r="AP42" s="995"/>
      <c r="AQ42" s="996"/>
      <c r="AR42" s="997"/>
      <c r="AS42" s="998"/>
      <c r="AT42" s="998"/>
      <c r="AU42" s="999"/>
    </row>
    <row r="43" spans="1:47" ht="12.75" thickBot="1" x14ac:dyDescent="0.25">
      <c r="A43" s="8">
        <v>65</v>
      </c>
      <c r="B43" s="9" t="s">
        <v>147</v>
      </c>
      <c r="C43" s="330">
        <f t="shared" ref="C43:X43" si="10">SUM(C44:C51)</f>
        <v>0</v>
      </c>
      <c r="D43" s="331">
        <f t="shared" si="10"/>
        <v>0</v>
      </c>
      <c r="E43" s="331">
        <f t="shared" si="10"/>
        <v>0</v>
      </c>
      <c r="F43" s="331">
        <f t="shared" si="10"/>
        <v>0</v>
      </c>
      <c r="G43" s="332">
        <f t="shared" si="10"/>
        <v>0</v>
      </c>
      <c r="H43" s="302">
        <f t="shared" si="10"/>
        <v>0</v>
      </c>
      <c r="I43" s="292">
        <f t="shared" si="10"/>
        <v>0</v>
      </c>
      <c r="J43" s="292">
        <f t="shared" si="10"/>
        <v>0</v>
      </c>
      <c r="K43" s="292">
        <f t="shared" si="10"/>
        <v>0</v>
      </c>
      <c r="L43" s="303">
        <f t="shared" si="10"/>
        <v>0</v>
      </c>
      <c r="M43" s="343">
        <f t="shared" si="10"/>
        <v>0</v>
      </c>
      <c r="N43" s="424">
        <f t="shared" si="10"/>
        <v>0</v>
      </c>
      <c r="O43" s="343">
        <f t="shared" si="10"/>
        <v>0</v>
      </c>
      <c r="P43" s="424">
        <f t="shared" si="10"/>
        <v>0</v>
      </c>
      <c r="Q43" s="343">
        <f t="shared" si="10"/>
        <v>0</v>
      </c>
      <c r="R43" s="424">
        <f t="shared" si="10"/>
        <v>0</v>
      </c>
      <c r="S43" s="360">
        <f t="shared" si="10"/>
        <v>210</v>
      </c>
      <c r="T43" s="451">
        <f t="shared" si="10"/>
        <v>0</v>
      </c>
      <c r="U43" s="311">
        <f t="shared" si="10"/>
        <v>0</v>
      </c>
      <c r="V43" s="411">
        <f t="shared" si="10"/>
        <v>0</v>
      </c>
      <c r="W43" s="311">
        <f t="shared" si="10"/>
        <v>0</v>
      </c>
      <c r="X43" s="412">
        <f t="shared" si="10"/>
        <v>0</v>
      </c>
      <c r="Z43" s="10">
        <f t="shared" ref="Z43:AU43" si="11">SUM(Z44:Z51)</f>
        <v>0</v>
      </c>
      <c r="AA43" s="11">
        <f t="shared" si="11"/>
        <v>0</v>
      </c>
      <c r="AB43" s="11">
        <f t="shared" si="11"/>
        <v>0</v>
      </c>
      <c r="AC43" s="11">
        <f t="shared" si="11"/>
        <v>0</v>
      </c>
      <c r="AD43" s="12">
        <f t="shared" si="11"/>
        <v>0</v>
      </c>
      <c r="AE43" s="13">
        <f t="shared" si="11"/>
        <v>0</v>
      </c>
      <c r="AF43" s="14">
        <f t="shared" si="11"/>
        <v>0</v>
      </c>
      <c r="AG43" s="14">
        <f t="shared" si="11"/>
        <v>0</v>
      </c>
      <c r="AH43" s="14">
        <f t="shared" si="11"/>
        <v>0</v>
      </c>
      <c r="AI43" s="38">
        <f t="shared" si="11"/>
        <v>0</v>
      </c>
      <c r="AJ43" s="35">
        <f t="shared" si="11"/>
        <v>0</v>
      </c>
      <c r="AK43" s="1000">
        <f t="shared" si="11"/>
        <v>0</v>
      </c>
      <c r="AL43" s="35">
        <f t="shared" si="11"/>
        <v>0</v>
      </c>
      <c r="AM43" s="1000">
        <f t="shared" si="11"/>
        <v>0</v>
      </c>
      <c r="AN43" s="35">
        <f t="shared" si="11"/>
        <v>0</v>
      </c>
      <c r="AO43" s="1000">
        <f t="shared" si="11"/>
        <v>0</v>
      </c>
      <c r="AP43" s="39">
        <f t="shared" si="11"/>
        <v>200</v>
      </c>
      <c r="AQ43" s="1002">
        <f t="shared" si="11"/>
        <v>0</v>
      </c>
      <c r="AR43" s="37">
        <f t="shared" si="11"/>
        <v>0</v>
      </c>
      <c r="AS43" s="1003">
        <f t="shared" si="11"/>
        <v>0</v>
      </c>
      <c r="AT43" s="37">
        <f t="shared" si="11"/>
        <v>0</v>
      </c>
      <c r="AU43" s="1004">
        <f t="shared" si="11"/>
        <v>0</v>
      </c>
    </row>
    <row r="44" spans="1:47" x14ac:dyDescent="0.2">
      <c r="A44" s="24">
        <v>6561009</v>
      </c>
      <c r="B44" s="25" t="s">
        <v>148</v>
      </c>
      <c r="C44" s="438"/>
      <c r="D44" s="439"/>
      <c r="E44" s="439"/>
      <c r="F44" s="439"/>
      <c r="G44" s="440"/>
      <c r="H44" s="386"/>
      <c r="I44" s="387"/>
      <c r="J44" s="387"/>
      <c r="K44" s="387"/>
      <c r="L44" s="388"/>
      <c r="M44" s="340"/>
      <c r="N44" s="341"/>
      <c r="O44" s="341"/>
      <c r="P44" s="341"/>
      <c r="Q44" s="341"/>
      <c r="R44" s="342"/>
      <c r="S44" s="357">
        <v>110</v>
      </c>
      <c r="T44" s="358"/>
      <c r="U44" s="308"/>
      <c r="V44" s="309"/>
      <c r="W44" s="309"/>
      <c r="X44" s="310"/>
      <c r="Z44" s="898"/>
      <c r="AA44" s="899"/>
      <c r="AB44" s="899"/>
      <c r="AC44" s="899"/>
      <c r="AD44" s="900"/>
      <c r="AE44" s="984"/>
      <c r="AF44" s="902"/>
      <c r="AG44" s="902"/>
      <c r="AH44" s="902"/>
      <c r="AI44" s="903"/>
      <c r="AJ44" s="26"/>
      <c r="AK44" s="27"/>
      <c r="AL44" s="27"/>
      <c r="AM44" s="27"/>
      <c r="AN44" s="27"/>
      <c r="AO44" s="28"/>
      <c r="AP44" s="29"/>
      <c r="AQ44" s="30"/>
      <c r="AR44" s="31"/>
      <c r="AS44" s="32"/>
      <c r="AT44" s="32"/>
      <c r="AU44" s="33"/>
    </row>
    <row r="45" spans="1:47" x14ac:dyDescent="0.2">
      <c r="A45" s="34">
        <v>6566009</v>
      </c>
      <c r="B45" s="912" t="s">
        <v>149</v>
      </c>
      <c r="C45" s="441"/>
      <c r="D45" s="442"/>
      <c r="E45" s="442"/>
      <c r="F45" s="442"/>
      <c r="G45" s="443"/>
      <c r="H45" s="389"/>
      <c r="I45" s="390"/>
      <c r="J45" s="390"/>
      <c r="K45" s="390"/>
      <c r="L45" s="391"/>
      <c r="M45" s="418"/>
      <c r="N45" s="419"/>
      <c r="O45" s="419"/>
      <c r="P45" s="419"/>
      <c r="Q45" s="419"/>
      <c r="R45" s="420"/>
      <c r="S45" s="441"/>
      <c r="T45" s="443"/>
      <c r="U45" s="402"/>
      <c r="V45" s="403"/>
      <c r="W45" s="403"/>
      <c r="X45" s="404"/>
      <c r="Z45" s="913"/>
      <c r="AA45" s="914"/>
      <c r="AB45" s="914"/>
      <c r="AC45" s="914"/>
      <c r="AD45" s="915"/>
      <c r="AE45" s="985"/>
      <c r="AF45" s="917"/>
      <c r="AG45" s="917"/>
      <c r="AH45" s="917"/>
      <c r="AI45" s="918"/>
      <c r="AJ45" s="986"/>
      <c r="AK45" s="987"/>
      <c r="AL45" s="987"/>
      <c r="AM45" s="987"/>
      <c r="AN45" s="987"/>
      <c r="AO45" s="988"/>
      <c r="AP45" s="913">
        <f>+'OLD BP Fonct'!C19</f>
        <v>200</v>
      </c>
      <c r="AQ45" s="915"/>
      <c r="AR45" s="924"/>
      <c r="AS45" s="925"/>
      <c r="AT45" s="925"/>
      <c r="AU45" s="926"/>
    </row>
    <row r="46" spans="1:47" x14ac:dyDescent="0.2">
      <c r="A46" s="34">
        <v>6570009</v>
      </c>
      <c r="B46" s="912" t="s">
        <v>150</v>
      </c>
      <c r="C46" s="441"/>
      <c r="D46" s="442"/>
      <c r="E46" s="442"/>
      <c r="F46" s="442"/>
      <c r="G46" s="443"/>
      <c r="H46" s="389"/>
      <c r="I46" s="390"/>
      <c r="J46" s="390"/>
      <c r="K46" s="390"/>
      <c r="L46" s="391"/>
      <c r="M46" s="418"/>
      <c r="N46" s="419"/>
      <c r="O46" s="419"/>
      <c r="P46" s="419"/>
      <c r="Q46" s="419"/>
      <c r="R46" s="420"/>
      <c r="S46" s="441"/>
      <c r="T46" s="443"/>
      <c r="U46" s="402"/>
      <c r="V46" s="403"/>
      <c r="W46" s="403"/>
      <c r="X46" s="404"/>
      <c r="Z46" s="913"/>
      <c r="AA46" s="914"/>
      <c r="AB46" s="914"/>
      <c r="AC46" s="914"/>
      <c r="AD46" s="915"/>
      <c r="AE46" s="985"/>
      <c r="AF46" s="917"/>
      <c r="AG46" s="917"/>
      <c r="AH46" s="917"/>
      <c r="AI46" s="918"/>
      <c r="AJ46" s="986"/>
      <c r="AK46" s="987"/>
      <c r="AL46" s="987"/>
      <c r="AM46" s="987"/>
      <c r="AN46" s="987"/>
      <c r="AO46" s="988"/>
      <c r="AP46" s="913"/>
      <c r="AQ46" s="915"/>
      <c r="AR46" s="924"/>
      <c r="AS46" s="925"/>
      <c r="AT46" s="925"/>
      <c r="AU46" s="926"/>
    </row>
    <row r="47" spans="1:47" x14ac:dyDescent="0.2">
      <c r="A47" s="34">
        <v>6572009</v>
      </c>
      <c r="B47" s="912" t="s">
        <v>151</v>
      </c>
      <c r="C47" s="441"/>
      <c r="D47" s="442"/>
      <c r="E47" s="442"/>
      <c r="F47" s="442"/>
      <c r="G47" s="443"/>
      <c r="H47" s="389"/>
      <c r="I47" s="390"/>
      <c r="J47" s="390"/>
      <c r="K47" s="390"/>
      <c r="L47" s="391"/>
      <c r="M47" s="418"/>
      <c r="N47" s="419"/>
      <c r="O47" s="419"/>
      <c r="P47" s="419"/>
      <c r="Q47" s="419"/>
      <c r="R47" s="420"/>
      <c r="S47" s="441"/>
      <c r="T47" s="443"/>
      <c r="U47" s="402"/>
      <c r="V47" s="403"/>
      <c r="W47" s="403"/>
      <c r="X47" s="404"/>
      <c r="Z47" s="913"/>
      <c r="AA47" s="914"/>
      <c r="AB47" s="914"/>
      <c r="AC47" s="914"/>
      <c r="AD47" s="915"/>
      <c r="AE47" s="985"/>
      <c r="AF47" s="917"/>
      <c r="AG47" s="917"/>
      <c r="AH47" s="917"/>
      <c r="AI47" s="918"/>
      <c r="AJ47" s="986"/>
      <c r="AK47" s="987"/>
      <c r="AL47" s="987"/>
      <c r="AM47" s="987"/>
      <c r="AN47" s="987"/>
      <c r="AO47" s="988"/>
      <c r="AP47" s="913"/>
      <c r="AQ47" s="915"/>
      <c r="AR47" s="924"/>
      <c r="AS47" s="925"/>
      <c r="AT47" s="925"/>
      <c r="AU47" s="926"/>
    </row>
    <row r="48" spans="1:47" x14ac:dyDescent="0.2">
      <c r="A48" s="34">
        <v>6580000</v>
      </c>
      <c r="B48" s="912" t="s">
        <v>152</v>
      </c>
      <c r="C48" s="441"/>
      <c r="D48" s="442"/>
      <c r="E48" s="442"/>
      <c r="F48" s="442"/>
      <c r="G48" s="443"/>
      <c r="H48" s="389"/>
      <c r="I48" s="390"/>
      <c r="J48" s="390"/>
      <c r="K48" s="390"/>
      <c r="L48" s="391"/>
      <c r="M48" s="418"/>
      <c r="N48" s="419"/>
      <c r="O48" s="419"/>
      <c r="P48" s="419"/>
      <c r="Q48" s="419"/>
      <c r="R48" s="420"/>
      <c r="S48" s="441"/>
      <c r="T48" s="443"/>
      <c r="U48" s="402"/>
      <c r="V48" s="403"/>
      <c r="W48" s="403"/>
      <c r="X48" s="404"/>
      <c r="Z48" s="913"/>
      <c r="AA48" s="914"/>
      <c r="AB48" s="914"/>
      <c r="AC48" s="914"/>
      <c r="AD48" s="915"/>
      <c r="AE48" s="985"/>
      <c r="AF48" s="917"/>
      <c r="AG48" s="917"/>
      <c r="AH48" s="917"/>
      <c r="AI48" s="918"/>
      <c r="AJ48" s="986"/>
      <c r="AK48" s="987"/>
      <c r="AL48" s="987"/>
      <c r="AM48" s="987"/>
      <c r="AN48" s="987"/>
      <c r="AO48" s="988"/>
      <c r="AP48" s="913"/>
      <c r="AQ48" s="915"/>
      <c r="AR48" s="924"/>
      <c r="AS48" s="925"/>
      <c r="AT48" s="925"/>
      <c r="AU48" s="926"/>
    </row>
    <row r="49" spans="1:47" x14ac:dyDescent="0.2">
      <c r="A49" s="60">
        <v>6580009</v>
      </c>
      <c r="B49" s="912" t="s">
        <v>153</v>
      </c>
      <c r="C49" s="441"/>
      <c r="D49" s="442"/>
      <c r="E49" s="442"/>
      <c r="F49" s="442"/>
      <c r="G49" s="443"/>
      <c r="H49" s="389"/>
      <c r="I49" s="390"/>
      <c r="J49" s="390"/>
      <c r="K49" s="390"/>
      <c r="L49" s="391"/>
      <c r="M49" s="418"/>
      <c r="N49" s="419"/>
      <c r="O49" s="419"/>
      <c r="P49" s="419"/>
      <c r="Q49" s="419"/>
      <c r="R49" s="420"/>
      <c r="S49" s="441"/>
      <c r="T49" s="443"/>
      <c r="U49" s="402"/>
      <c r="V49" s="403"/>
      <c r="W49" s="403"/>
      <c r="X49" s="404"/>
      <c r="Z49" s="913"/>
      <c r="AA49" s="914"/>
      <c r="AB49" s="914"/>
      <c r="AC49" s="914"/>
      <c r="AD49" s="915"/>
      <c r="AE49" s="985"/>
      <c r="AF49" s="917"/>
      <c r="AG49" s="917"/>
      <c r="AH49" s="917"/>
      <c r="AI49" s="918"/>
      <c r="AJ49" s="986"/>
      <c r="AK49" s="987"/>
      <c r="AL49" s="987"/>
      <c r="AM49" s="987"/>
      <c r="AN49" s="987"/>
      <c r="AO49" s="988"/>
      <c r="AP49" s="913"/>
      <c r="AQ49" s="915"/>
      <c r="AR49" s="924"/>
      <c r="AS49" s="925"/>
      <c r="AT49" s="925"/>
      <c r="AU49" s="926"/>
    </row>
    <row r="50" spans="1:47" x14ac:dyDescent="0.2">
      <c r="A50" s="953">
        <v>6580029</v>
      </c>
      <c r="B50" s="912" t="s">
        <v>77</v>
      </c>
      <c r="C50" s="441"/>
      <c r="D50" s="442"/>
      <c r="E50" s="442"/>
      <c r="F50" s="442"/>
      <c r="G50" s="443"/>
      <c r="H50" s="389"/>
      <c r="I50" s="390"/>
      <c r="J50" s="390"/>
      <c r="K50" s="390"/>
      <c r="L50" s="391"/>
      <c r="M50" s="418"/>
      <c r="N50" s="419"/>
      <c r="O50" s="419"/>
      <c r="P50" s="419"/>
      <c r="Q50" s="419"/>
      <c r="R50" s="420"/>
      <c r="S50" s="441"/>
      <c r="T50" s="443"/>
      <c r="U50" s="402"/>
      <c r="V50" s="403"/>
      <c r="W50" s="403"/>
      <c r="X50" s="404"/>
      <c r="Z50" s="913"/>
      <c r="AA50" s="914"/>
      <c r="AB50" s="914"/>
      <c r="AC50" s="914"/>
      <c r="AD50" s="915"/>
      <c r="AE50" s="985"/>
      <c r="AF50" s="917"/>
      <c r="AG50" s="917"/>
      <c r="AH50" s="917"/>
      <c r="AI50" s="918"/>
      <c r="AJ50" s="986"/>
      <c r="AK50" s="987"/>
      <c r="AL50" s="987"/>
      <c r="AM50" s="987"/>
      <c r="AN50" s="987"/>
      <c r="AO50" s="988"/>
      <c r="AP50" s="913"/>
      <c r="AQ50" s="915"/>
      <c r="AR50" s="924"/>
      <c r="AS50" s="925"/>
      <c r="AT50" s="925"/>
      <c r="AU50" s="926"/>
    </row>
    <row r="51" spans="1:47" ht="12.75" thickBot="1" x14ac:dyDescent="0.25">
      <c r="A51" s="989">
        <v>6581009</v>
      </c>
      <c r="B51" s="61" t="s">
        <v>78</v>
      </c>
      <c r="C51" s="444"/>
      <c r="D51" s="445"/>
      <c r="E51" s="445"/>
      <c r="F51" s="445"/>
      <c r="G51" s="446"/>
      <c r="H51" s="392"/>
      <c r="I51" s="393"/>
      <c r="J51" s="393"/>
      <c r="K51" s="393"/>
      <c r="L51" s="394"/>
      <c r="M51" s="421"/>
      <c r="N51" s="422"/>
      <c r="O51" s="422"/>
      <c r="P51" s="422"/>
      <c r="Q51" s="422"/>
      <c r="R51" s="423"/>
      <c r="S51" s="449">
        <v>100</v>
      </c>
      <c r="T51" s="450"/>
      <c r="U51" s="408"/>
      <c r="V51" s="409"/>
      <c r="W51" s="409"/>
      <c r="X51" s="410"/>
      <c r="Z51" s="937"/>
      <c r="AA51" s="938"/>
      <c r="AB51" s="938"/>
      <c r="AC51" s="938"/>
      <c r="AD51" s="939"/>
      <c r="AE51" s="991"/>
      <c r="AF51" s="941"/>
      <c r="AG51" s="941"/>
      <c r="AH51" s="941"/>
      <c r="AI51" s="942"/>
      <c r="AJ51" s="992"/>
      <c r="AK51" s="993"/>
      <c r="AL51" s="993"/>
      <c r="AM51" s="993"/>
      <c r="AN51" s="993"/>
      <c r="AO51" s="994"/>
      <c r="AP51" s="995"/>
      <c r="AQ51" s="996"/>
      <c r="AR51" s="997"/>
      <c r="AS51" s="998"/>
      <c r="AT51" s="998"/>
      <c r="AU51" s="999"/>
    </row>
    <row r="52" spans="1:47" ht="12.75" thickBot="1" x14ac:dyDescent="0.25">
      <c r="A52" s="8">
        <v>66</v>
      </c>
      <c r="B52" s="9" t="s">
        <v>154</v>
      </c>
      <c r="C52" s="330">
        <f t="shared" ref="C52:X52" si="12">C53</f>
        <v>0</v>
      </c>
      <c r="D52" s="331">
        <f t="shared" si="12"/>
        <v>0</v>
      </c>
      <c r="E52" s="331">
        <f t="shared" si="12"/>
        <v>0</v>
      </c>
      <c r="F52" s="331">
        <f t="shared" si="12"/>
        <v>0</v>
      </c>
      <c r="G52" s="332">
        <f t="shared" si="12"/>
        <v>0</v>
      </c>
      <c r="H52" s="302">
        <f t="shared" si="12"/>
        <v>0</v>
      </c>
      <c r="I52" s="292">
        <f t="shared" si="12"/>
        <v>0</v>
      </c>
      <c r="J52" s="292">
        <f t="shared" si="12"/>
        <v>0</v>
      </c>
      <c r="K52" s="292">
        <f t="shared" si="12"/>
        <v>0</v>
      </c>
      <c r="L52" s="303">
        <f t="shared" si="12"/>
        <v>0</v>
      </c>
      <c r="M52" s="344">
        <f t="shared" si="12"/>
        <v>0</v>
      </c>
      <c r="N52" s="345">
        <f t="shared" si="12"/>
        <v>0</v>
      </c>
      <c r="O52" s="344">
        <f t="shared" si="12"/>
        <v>0</v>
      </c>
      <c r="P52" s="345">
        <f t="shared" si="12"/>
        <v>0</v>
      </c>
      <c r="Q52" s="344">
        <f t="shared" si="12"/>
        <v>0</v>
      </c>
      <c r="R52" s="345">
        <f t="shared" si="12"/>
        <v>0</v>
      </c>
      <c r="S52" s="361">
        <f t="shared" si="12"/>
        <v>0</v>
      </c>
      <c r="T52" s="362">
        <f t="shared" si="12"/>
        <v>0</v>
      </c>
      <c r="U52" s="305">
        <f t="shared" si="12"/>
        <v>0</v>
      </c>
      <c r="V52" s="306">
        <f t="shared" si="12"/>
        <v>0</v>
      </c>
      <c r="W52" s="305">
        <f t="shared" si="12"/>
        <v>0</v>
      </c>
      <c r="X52" s="307">
        <f t="shared" si="12"/>
        <v>0</v>
      </c>
      <c r="Z52" s="10">
        <f t="shared" ref="Z52:AU52" si="13">Z53</f>
        <v>0</v>
      </c>
      <c r="AA52" s="11">
        <f t="shared" si="13"/>
        <v>0</v>
      </c>
      <c r="AB52" s="11">
        <f t="shared" si="13"/>
        <v>0</v>
      </c>
      <c r="AC52" s="11">
        <f t="shared" si="13"/>
        <v>0</v>
      </c>
      <c r="AD52" s="12">
        <f t="shared" si="13"/>
        <v>0</v>
      </c>
      <c r="AE52" s="13">
        <f t="shared" si="13"/>
        <v>0</v>
      </c>
      <c r="AF52" s="14">
        <f t="shared" si="13"/>
        <v>0</v>
      </c>
      <c r="AG52" s="14">
        <f t="shared" si="13"/>
        <v>0</v>
      </c>
      <c r="AH52" s="14">
        <f t="shared" si="13"/>
        <v>0</v>
      </c>
      <c r="AI52" s="38">
        <f t="shared" si="13"/>
        <v>0</v>
      </c>
      <c r="AJ52" s="40">
        <f t="shared" si="13"/>
        <v>0</v>
      </c>
      <c r="AK52" s="41">
        <f t="shared" si="13"/>
        <v>0</v>
      </c>
      <c r="AL52" s="40">
        <f t="shared" si="13"/>
        <v>0</v>
      </c>
      <c r="AM52" s="41">
        <f t="shared" si="13"/>
        <v>0</v>
      </c>
      <c r="AN52" s="40">
        <f t="shared" si="13"/>
        <v>0</v>
      </c>
      <c r="AO52" s="41">
        <f t="shared" si="13"/>
        <v>0</v>
      </c>
      <c r="AP52" s="42">
        <f t="shared" si="13"/>
        <v>0</v>
      </c>
      <c r="AQ52" s="43">
        <f t="shared" si="13"/>
        <v>0</v>
      </c>
      <c r="AR52" s="21">
        <f t="shared" si="13"/>
        <v>0</v>
      </c>
      <c r="AS52" s="22">
        <f t="shared" si="13"/>
        <v>0</v>
      </c>
      <c r="AT52" s="21">
        <f t="shared" si="13"/>
        <v>0</v>
      </c>
      <c r="AU52" s="23">
        <f t="shared" si="13"/>
        <v>0</v>
      </c>
    </row>
    <row r="53" spans="1:47" ht="12.75" thickBot="1" x14ac:dyDescent="0.25">
      <c r="A53" s="47">
        <v>6600000</v>
      </c>
      <c r="B53" s="963" t="s">
        <v>154</v>
      </c>
      <c r="C53" s="333"/>
      <c r="D53" s="447"/>
      <c r="E53" s="447"/>
      <c r="F53" s="447"/>
      <c r="G53" s="448"/>
      <c r="H53" s="304"/>
      <c r="I53" s="395"/>
      <c r="J53" s="395"/>
      <c r="K53" s="395"/>
      <c r="L53" s="396"/>
      <c r="M53" s="346"/>
      <c r="N53" s="349"/>
      <c r="O53" s="350"/>
      <c r="P53" s="349"/>
      <c r="Q53" s="350"/>
      <c r="R53" s="426"/>
      <c r="S53" s="363"/>
      <c r="T53" s="452"/>
      <c r="U53" s="315"/>
      <c r="V53" s="319"/>
      <c r="W53" s="320"/>
      <c r="X53" s="414"/>
      <c r="Z53" s="48"/>
      <c r="AA53" s="964"/>
      <c r="AB53" s="964"/>
      <c r="AC53" s="964"/>
      <c r="AD53" s="965"/>
      <c r="AE53" s="49"/>
      <c r="AF53" s="966"/>
      <c r="AG53" s="966"/>
      <c r="AH53" s="966"/>
      <c r="AI53" s="1005"/>
      <c r="AJ53" s="50"/>
      <c r="AK53" s="62"/>
      <c r="AL53" s="63"/>
      <c r="AM53" s="62"/>
      <c r="AN53" s="63"/>
      <c r="AO53" s="1006"/>
      <c r="AP53" s="51"/>
      <c r="AQ53" s="970"/>
      <c r="AR53" s="52"/>
      <c r="AS53" s="64"/>
      <c r="AT53" s="65"/>
      <c r="AU53" s="972"/>
    </row>
    <row r="54" spans="1:47" ht="12.75" thickBot="1" x14ac:dyDescent="0.25">
      <c r="A54" s="8">
        <v>67</v>
      </c>
      <c r="B54" s="9" t="s">
        <v>155</v>
      </c>
      <c r="C54" s="330">
        <f t="shared" ref="C54:X54" si="14">SUM(C55:C57)</f>
        <v>0</v>
      </c>
      <c r="D54" s="331">
        <f t="shared" si="14"/>
        <v>0</v>
      </c>
      <c r="E54" s="331">
        <f t="shared" si="14"/>
        <v>0</v>
      </c>
      <c r="F54" s="331">
        <f t="shared" si="14"/>
        <v>0</v>
      </c>
      <c r="G54" s="332">
        <f t="shared" si="14"/>
        <v>0</v>
      </c>
      <c r="H54" s="302">
        <f t="shared" si="14"/>
        <v>0</v>
      </c>
      <c r="I54" s="292">
        <f t="shared" si="14"/>
        <v>0</v>
      </c>
      <c r="J54" s="292">
        <f t="shared" si="14"/>
        <v>0</v>
      </c>
      <c r="K54" s="292">
        <f t="shared" si="14"/>
        <v>0</v>
      </c>
      <c r="L54" s="303">
        <f t="shared" si="14"/>
        <v>0</v>
      </c>
      <c r="M54" s="347">
        <f t="shared" si="14"/>
        <v>0</v>
      </c>
      <c r="N54" s="348">
        <f t="shared" si="14"/>
        <v>0</v>
      </c>
      <c r="O54" s="347">
        <f t="shared" si="14"/>
        <v>0</v>
      </c>
      <c r="P54" s="348">
        <f t="shared" si="14"/>
        <v>0</v>
      </c>
      <c r="Q54" s="347">
        <f t="shared" si="14"/>
        <v>0</v>
      </c>
      <c r="R54" s="348">
        <f t="shared" si="14"/>
        <v>0</v>
      </c>
      <c r="S54" s="364">
        <f t="shared" si="14"/>
        <v>0</v>
      </c>
      <c r="T54" s="365">
        <f t="shared" si="14"/>
        <v>0</v>
      </c>
      <c r="U54" s="316">
        <f t="shared" si="14"/>
        <v>0</v>
      </c>
      <c r="V54" s="317">
        <f t="shared" si="14"/>
        <v>0</v>
      </c>
      <c r="W54" s="316">
        <f t="shared" si="14"/>
        <v>0</v>
      </c>
      <c r="X54" s="318">
        <f t="shared" si="14"/>
        <v>0</v>
      </c>
      <c r="Z54" s="10">
        <f t="shared" ref="Z54:AU54" si="15">SUM(Z55:Z57)</f>
        <v>0</v>
      </c>
      <c r="AA54" s="11">
        <f t="shared" si="15"/>
        <v>0</v>
      </c>
      <c r="AB54" s="11">
        <f t="shared" si="15"/>
        <v>0</v>
      </c>
      <c r="AC54" s="11">
        <f t="shared" si="15"/>
        <v>0</v>
      </c>
      <c r="AD54" s="12">
        <f t="shared" si="15"/>
        <v>0</v>
      </c>
      <c r="AE54" s="13">
        <f t="shared" si="15"/>
        <v>0</v>
      </c>
      <c r="AF54" s="14">
        <f t="shared" si="15"/>
        <v>0</v>
      </c>
      <c r="AG54" s="14">
        <f t="shared" si="15"/>
        <v>0</v>
      </c>
      <c r="AH54" s="14">
        <f t="shared" si="15"/>
        <v>0</v>
      </c>
      <c r="AI54" s="38">
        <f t="shared" si="15"/>
        <v>0</v>
      </c>
      <c r="AJ54" s="53">
        <f t="shared" si="15"/>
        <v>0</v>
      </c>
      <c r="AK54" s="54">
        <f t="shared" si="15"/>
        <v>0</v>
      </c>
      <c r="AL54" s="53">
        <f t="shared" si="15"/>
        <v>0</v>
      </c>
      <c r="AM54" s="54">
        <f t="shared" si="15"/>
        <v>0</v>
      </c>
      <c r="AN54" s="53">
        <f t="shared" si="15"/>
        <v>0</v>
      </c>
      <c r="AO54" s="54">
        <f t="shared" si="15"/>
        <v>0</v>
      </c>
      <c r="AP54" s="55">
        <f t="shared" si="15"/>
        <v>0</v>
      </c>
      <c r="AQ54" s="56">
        <f t="shared" si="15"/>
        <v>0</v>
      </c>
      <c r="AR54" s="57">
        <f t="shared" si="15"/>
        <v>0</v>
      </c>
      <c r="AS54" s="58">
        <f t="shared" si="15"/>
        <v>0</v>
      </c>
      <c r="AT54" s="57">
        <f t="shared" si="15"/>
        <v>0</v>
      </c>
      <c r="AU54" s="59">
        <f t="shared" si="15"/>
        <v>0</v>
      </c>
    </row>
    <row r="55" spans="1:47" x14ac:dyDescent="0.2">
      <c r="A55" s="24">
        <v>6712000</v>
      </c>
      <c r="B55" s="25" t="s">
        <v>156</v>
      </c>
      <c r="C55" s="438"/>
      <c r="D55" s="439"/>
      <c r="E55" s="439"/>
      <c r="F55" s="439"/>
      <c r="G55" s="440"/>
      <c r="H55" s="386"/>
      <c r="I55" s="387"/>
      <c r="J55" s="387"/>
      <c r="K55" s="387"/>
      <c r="L55" s="388"/>
      <c r="M55" s="340"/>
      <c r="N55" s="341"/>
      <c r="O55" s="341"/>
      <c r="P55" s="341"/>
      <c r="Q55" s="341"/>
      <c r="R55" s="342"/>
      <c r="S55" s="357"/>
      <c r="T55" s="366"/>
      <c r="U55" s="308"/>
      <c r="V55" s="309"/>
      <c r="W55" s="309"/>
      <c r="X55" s="310"/>
      <c r="Z55" s="898"/>
      <c r="AA55" s="899"/>
      <c r="AB55" s="899"/>
      <c r="AC55" s="899"/>
      <c r="AD55" s="900"/>
      <c r="AE55" s="984"/>
      <c r="AF55" s="902"/>
      <c r="AG55" s="902"/>
      <c r="AH55" s="902"/>
      <c r="AI55" s="903"/>
      <c r="AJ55" s="26"/>
      <c r="AK55" s="27"/>
      <c r="AL55" s="27"/>
      <c r="AM55" s="27"/>
      <c r="AN55" s="27"/>
      <c r="AO55" s="28"/>
      <c r="AP55" s="29"/>
      <c r="AQ55" s="66"/>
      <c r="AR55" s="31"/>
      <c r="AS55" s="32"/>
      <c r="AT55" s="32"/>
      <c r="AU55" s="33"/>
    </row>
    <row r="56" spans="1:47" x14ac:dyDescent="0.2">
      <c r="A56" s="47">
        <v>6718000</v>
      </c>
      <c r="B56" s="963" t="s">
        <v>157</v>
      </c>
      <c r="C56" s="441"/>
      <c r="D56" s="442"/>
      <c r="E56" s="442"/>
      <c r="F56" s="442"/>
      <c r="G56" s="443"/>
      <c r="H56" s="389"/>
      <c r="I56" s="390"/>
      <c r="J56" s="390"/>
      <c r="K56" s="390"/>
      <c r="L56" s="391"/>
      <c r="M56" s="418"/>
      <c r="N56" s="419"/>
      <c r="O56" s="419"/>
      <c r="P56" s="419"/>
      <c r="Q56" s="419"/>
      <c r="R56" s="420"/>
      <c r="S56" s="441"/>
      <c r="T56" s="453"/>
      <c r="U56" s="402"/>
      <c r="V56" s="403"/>
      <c r="W56" s="403"/>
      <c r="X56" s="404"/>
      <c r="Z56" s="913"/>
      <c r="AA56" s="914"/>
      <c r="AB56" s="914"/>
      <c r="AC56" s="914"/>
      <c r="AD56" s="915"/>
      <c r="AE56" s="985"/>
      <c r="AF56" s="917"/>
      <c r="AG56" s="917"/>
      <c r="AH56" s="917"/>
      <c r="AI56" s="918"/>
      <c r="AJ56" s="986"/>
      <c r="AK56" s="987"/>
      <c r="AL56" s="987"/>
      <c r="AM56" s="987"/>
      <c r="AN56" s="987"/>
      <c r="AO56" s="988"/>
      <c r="AP56" s="913"/>
      <c r="AQ56" s="923"/>
      <c r="AR56" s="924"/>
      <c r="AS56" s="925"/>
      <c r="AT56" s="925"/>
      <c r="AU56" s="926"/>
    </row>
    <row r="57" spans="1:47" ht="12.75" thickBot="1" x14ac:dyDescent="0.25">
      <c r="A57" s="989">
        <v>6750000</v>
      </c>
      <c r="B57" s="990" t="s">
        <v>158</v>
      </c>
      <c r="C57" s="444"/>
      <c r="D57" s="445"/>
      <c r="E57" s="445"/>
      <c r="F57" s="445"/>
      <c r="G57" s="446"/>
      <c r="H57" s="392"/>
      <c r="I57" s="393"/>
      <c r="J57" s="393"/>
      <c r="K57" s="393"/>
      <c r="L57" s="394"/>
      <c r="M57" s="421"/>
      <c r="N57" s="422"/>
      <c r="O57" s="422"/>
      <c r="P57" s="422"/>
      <c r="Q57" s="422"/>
      <c r="R57" s="423"/>
      <c r="S57" s="449"/>
      <c r="T57" s="454"/>
      <c r="U57" s="408"/>
      <c r="V57" s="409"/>
      <c r="W57" s="409"/>
      <c r="X57" s="410"/>
      <c r="Z57" s="937"/>
      <c r="AA57" s="938"/>
      <c r="AB57" s="938"/>
      <c r="AC57" s="938"/>
      <c r="AD57" s="939"/>
      <c r="AE57" s="991"/>
      <c r="AF57" s="941"/>
      <c r="AG57" s="941"/>
      <c r="AH57" s="941"/>
      <c r="AI57" s="942"/>
      <c r="AJ57" s="992"/>
      <c r="AK57" s="993"/>
      <c r="AL57" s="993"/>
      <c r="AM57" s="993"/>
      <c r="AN57" s="993"/>
      <c r="AO57" s="994"/>
      <c r="AP57" s="995"/>
      <c r="AQ57" s="1009"/>
      <c r="AR57" s="997"/>
      <c r="AS57" s="998"/>
      <c r="AT57" s="998"/>
      <c r="AU57" s="999"/>
    </row>
    <row r="58" spans="1:47" ht="12.75" thickBot="1" x14ac:dyDescent="0.25">
      <c r="A58" s="8">
        <v>68</v>
      </c>
      <c r="B58" s="9" t="s">
        <v>159</v>
      </c>
      <c r="C58" s="330">
        <f t="shared" ref="C58:X58" si="16">SUM(C59:C60)</f>
        <v>0</v>
      </c>
      <c r="D58" s="331">
        <f t="shared" si="16"/>
        <v>0</v>
      </c>
      <c r="E58" s="331">
        <f>SUM(E59:E60)</f>
        <v>0</v>
      </c>
      <c r="F58" s="331">
        <f t="shared" si="16"/>
        <v>0</v>
      </c>
      <c r="G58" s="332">
        <f t="shared" si="16"/>
        <v>0</v>
      </c>
      <c r="H58" s="302">
        <f t="shared" si="16"/>
        <v>0</v>
      </c>
      <c r="I58" s="292">
        <f t="shared" si="16"/>
        <v>0</v>
      </c>
      <c r="J58" s="292">
        <f t="shared" si="16"/>
        <v>0</v>
      </c>
      <c r="K58" s="292">
        <f t="shared" si="16"/>
        <v>0</v>
      </c>
      <c r="L58" s="303">
        <f t="shared" si="16"/>
        <v>0</v>
      </c>
      <c r="M58" s="344">
        <f t="shared" si="16"/>
        <v>0</v>
      </c>
      <c r="N58" s="345">
        <f t="shared" si="16"/>
        <v>0</v>
      </c>
      <c r="O58" s="344">
        <f t="shared" si="16"/>
        <v>0</v>
      </c>
      <c r="P58" s="345">
        <f t="shared" si="16"/>
        <v>0</v>
      </c>
      <c r="Q58" s="344">
        <f t="shared" si="16"/>
        <v>0</v>
      </c>
      <c r="R58" s="345">
        <f t="shared" si="16"/>
        <v>0</v>
      </c>
      <c r="S58" s="361">
        <f t="shared" si="16"/>
        <v>0</v>
      </c>
      <c r="T58" s="362">
        <f t="shared" si="16"/>
        <v>0</v>
      </c>
      <c r="U58" s="312">
        <f t="shared" si="16"/>
        <v>0</v>
      </c>
      <c r="V58" s="313">
        <f t="shared" si="16"/>
        <v>0</v>
      </c>
      <c r="W58" s="312">
        <f t="shared" si="16"/>
        <v>0</v>
      </c>
      <c r="X58" s="314">
        <f t="shared" si="16"/>
        <v>0</v>
      </c>
      <c r="Z58" s="10">
        <f t="shared" ref="Z58:AU58" si="17">SUM(Z59:Z60)</f>
        <v>0</v>
      </c>
      <c r="AA58" s="11">
        <f t="shared" si="17"/>
        <v>0</v>
      </c>
      <c r="AB58" s="11">
        <f t="shared" si="17"/>
        <v>0</v>
      </c>
      <c r="AC58" s="11">
        <f t="shared" si="17"/>
        <v>0</v>
      </c>
      <c r="AD58" s="12">
        <f t="shared" si="17"/>
        <v>0</v>
      </c>
      <c r="AE58" s="13">
        <f t="shared" si="17"/>
        <v>0</v>
      </c>
      <c r="AF58" s="14">
        <f t="shared" si="17"/>
        <v>0</v>
      </c>
      <c r="AG58" s="14">
        <f t="shared" si="17"/>
        <v>0</v>
      </c>
      <c r="AH58" s="14">
        <f t="shared" si="17"/>
        <v>0</v>
      </c>
      <c r="AI58" s="38">
        <f t="shared" si="17"/>
        <v>0</v>
      </c>
      <c r="AJ58" s="40">
        <f t="shared" si="17"/>
        <v>0</v>
      </c>
      <c r="AK58" s="41">
        <f t="shared" si="17"/>
        <v>0</v>
      </c>
      <c r="AL58" s="40">
        <f t="shared" si="17"/>
        <v>0</v>
      </c>
      <c r="AM58" s="41">
        <f t="shared" si="17"/>
        <v>0</v>
      </c>
      <c r="AN58" s="40">
        <f t="shared" si="17"/>
        <v>0</v>
      </c>
      <c r="AO58" s="41">
        <f t="shared" si="17"/>
        <v>0</v>
      </c>
      <c r="AP58" s="42">
        <f t="shared" si="17"/>
        <v>0</v>
      </c>
      <c r="AQ58" s="43">
        <f t="shared" si="17"/>
        <v>0</v>
      </c>
      <c r="AR58" s="44">
        <f t="shared" si="17"/>
        <v>0</v>
      </c>
      <c r="AS58" s="45">
        <f t="shared" si="17"/>
        <v>0</v>
      </c>
      <c r="AT58" s="44">
        <f t="shared" si="17"/>
        <v>0</v>
      </c>
      <c r="AU58" s="46">
        <f t="shared" si="17"/>
        <v>0</v>
      </c>
    </row>
    <row r="59" spans="1:47" x14ac:dyDescent="0.2">
      <c r="A59" s="24">
        <v>6810000</v>
      </c>
      <c r="B59" s="25" t="s">
        <v>160</v>
      </c>
      <c r="C59" s="438"/>
      <c r="D59" s="439"/>
      <c r="E59" s="439"/>
      <c r="F59" s="439"/>
      <c r="G59" s="440"/>
      <c r="H59" s="386"/>
      <c r="I59" s="387"/>
      <c r="J59" s="387"/>
      <c r="K59" s="387"/>
      <c r="L59" s="397"/>
      <c r="M59" s="351"/>
      <c r="N59" s="341"/>
      <c r="O59" s="352"/>
      <c r="P59" s="353"/>
      <c r="Q59" s="351"/>
      <c r="R59" s="353"/>
      <c r="S59" s="367"/>
      <c r="T59" s="366"/>
      <c r="U59" s="321"/>
      <c r="V59" s="309"/>
      <c r="W59" s="322"/>
      <c r="X59" s="310"/>
      <c r="Z59" s="898"/>
      <c r="AA59" s="899"/>
      <c r="AB59" s="899"/>
      <c r="AC59" s="899"/>
      <c r="AD59" s="900"/>
      <c r="AE59" s="984"/>
      <c r="AF59" s="902"/>
      <c r="AG59" s="902"/>
      <c r="AH59" s="902"/>
      <c r="AI59" s="1010"/>
      <c r="AJ59" s="67"/>
      <c r="AK59" s="27"/>
      <c r="AL59" s="68"/>
      <c r="AM59" s="69"/>
      <c r="AN59" s="67"/>
      <c r="AO59" s="69"/>
      <c r="AP59" s="70"/>
      <c r="AQ59" s="66"/>
      <c r="AR59" s="71"/>
      <c r="AS59" s="32"/>
      <c r="AT59" s="72"/>
      <c r="AU59" s="33"/>
    </row>
    <row r="60" spans="1:47" ht="12.75" thickBot="1" x14ac:dyDescent="0.25">
      <c r="A60" s="989">
        <v>6815000</v>
      </c>
      <c r="B60" s="990" t="s">
        <v>161</v>
      </c>
      <c r="C60" s="444"/>
      <c r="D60" s="445"/>
      <c r="E60" s="445"/>
      <c r="F60" s="445"/>
      <c r="G60" s="446"/>
      <c r="H60" s="392"/>
      <c r="I60" s="393"/>
      <c r="J60" s="393"/>
      <c r="K60" s="393"/>
      <c r="L60" s="398"/>
      <c r="M60" s="427"/>
      <c r="N60" s="422"/>
      <c r="O60" s="428"/>
      <c r="P60" s="429"/>
      <c r="Q60" s="427"/>
      <c r="R60" s="429"/>
      <c r="S60" s="455"/>
      <c r="T60" s="454"/>
      <c r="U60" s="416"/>
      <c r="V60" s="409"/>
      <c r="W60" s="417"/>
      <c r="X60" s="410"/>
      <c r="Z60" s="937"/>
      <c r="AA60" s="938"/>
      <c r="AB60" s="938"/>
      <c r="AC60" s="938"/>
      <c r="AD60" s="939"/>
      <c r="AE60" s="991"/>
      <c r="AF60" s="941"/>
      <c r="AG60" s="941"/>
      <c r="AH60" s="941"/>
      <c r="AI60" s="1011"/>
      <c r="AJ60" s="1012"/>
      <c r="AK60" s="993"/>
      <c r="AL60" s="1013"/>
      <c r="AM60" s="1014"/>
      <c r="AN60" s="1012"/>
      <c r="AO60" s="1014"/>
      <c r="AP60" s="1015"/>
      <c r="AQ60" s="1009"/>
      <c r="AR60" s="1016"/>
      <c r="AS60" s="998"/>
      <c r="AT60" s="1017"/>
      <c r="AU60" s="999"/>
    </row>
    <row r="61" spans="1:47" s="3" customFormat="1" ht="12.75" thickBot="1" x14ac:dyDescent="0.25">
      <c r="A61" s="8"/>
      <c r="B61" s="9" t="s">
        <v>162</v>
      </c>
      <c r="C61" s="330">
        <f t="shared" ref="C61:X61" si="18">C58+C54+C52+C43+C39+C37+C28+C17+C5</f>
        <v>500</v>
      </c>
      <c r="D61" s="331">
        <f>D58+D54+D52+D43+D39+D37+D28+D17+D5</f>
        <v>170</v>
      </c>
      <c r="E61" s="331">
        <f t="shared" si="18"/>
        <v>0</v>
      </c>
      <c r="F61" s="331">
        <f t="shared" si="18"/>
        <v>3679</v>
      </c>
      <c r="G61" s="332">
        <f t="shared" si="18"/>
        <v>800</v>
      </c>
      <c r="H61" s="302">
        <f t="shared" si="18"/>
        <v>5960</v>
      </c>
      <c r="I61" s="292">
        <f t="shared" si="18"/>
        <v>0</v>
      </c>
      <c r="J61" s="292">
        <f t="shared" si="18"/>
        <v>0</v>
      </c>
      <c r="K61" s="292">
        <f>K58+K54+K52+K43+K39+K37+K28+K17+K5</f>
        <v>15000</v>
      </c>
      <c r="L61" s="303">
        <f t="shared" si="18"/>
        <v>0</v>
      </c>
      <c r="M61" s="338">
        <f t="shared" si="18"/>
        <v>7600</v>
      </c>
      <c r="N61" s="339">
        <f t="shared" si="18"/>
        <v>0</v>
      </c>
      <c r="O61" s="338">
        <f t="shared" si="18"/>
        <v>0</v>
      </c>
      <c r="P61" s="339">
        <f t="shared" si="18"/>
        <v>0</v>
      </c>
      <c r="Q61" s="338">
        <f t="shared" si="18"/>
        <v>0</v>
      </c>
      <c r="R61" s="339">
        <f t="shared" si="18"/>
        <v>250</v>
      </c>
      <c r="S61" s="368">
        <f t="shared" si="18"/>
        <v>15435</v>
      </c>
      <c r="T61" s="356">
        <f t="shared" si="18"/>
        <v>0</v>
      </c>
      <c r="U61" s="305">
        <f t="shared" si="18"/>
        <v>0</v>
      </c>
      <c r="V61" s="306">
        <f t="shared" si="18"/>
        <v>0</v>
      </c>
      <c r="W61" s="305">
        <f t="shared" si="18"/>
        <v>0</v>
      </c>
      <c r="X61" s="307">
        <f t="shared" si="18"/>
        <v>0</v>
      </c>
      <c r="Z61" s="10">
        <f t="shared" ref="Z61:AU61" si="19">Z58+Z54+Z52+Z43+Z39+Z37+Z28+Z17+Z5</f>
        <v>720</v>
      </c>
      <c r="AA61" s="11">
        <f t="shared" si="19"/>
        <v>360</v>
      </c>
      <c r="AB61" s="11">
        <f t="shared" si="19"/>
        <v>0</v>
      </c>
      <c r="AC61" s="11">
        <f t="shared" si="19"/>
        <v>1989.33</v>
      </c>
      <c r="AD61" s="12">
        <f t="shared" si="19"/>
        <v>800</v>
      </c>
      <c r="AE61" s="13">
        <f t="shared" si="19"/>
        <v>6000</v>
      </c>
      <c r="AF61" s="14">
        <f t="shared" si="19"/>
        <v>0</v>
      </c>
      <c r="AG61" s="14">
        <f t="shared" si="19"/>
        <v>0</v>
      </c>
      <c r="AH61" s="14">
        <f t="shared" si="19"/>
        <v>12680</v>
      </c>
      <c r="AI61" s="38">
        <f t="shared" si="19"/>
        <v>0</v>
      </c>
      <c r="AJ61" s="16">
        <f t="shared" si="19"/>
        <v>8040</v>
      </c>
      <c r="AK61" s="17">
        <f t="shared" si="19"/>
        <v>0</v>
      </c>
      <c r="AL61" s="16">
        <f t="shared" si="19"/>
        <v>18536.8</v>
      </c>
      <c r="AM61" s="17">
        <f t="shared" si="19"/>
        <v>0</v>
      </c>
      <c r="AN61" s="16">
        <f t="shared" si="19"/>
        <v>0</v>
      </c>
      <c r="AO61" s="17">
        <f t="shared" si="19"/>
        <v>0</v>
      </c>
      <c r="AP61" s="73">
        <f t="shared" si="19"/>
        <v>15811.05</v>
      </c>
      <c r="AQ61" s="20">
        <f t="shared" si="19"/>
        <v>0</v>
      </c>
      <c r="AR61" s="21">
        <f t="shared" si="19"/>
        <v>0</v>
      </c>
      <c r="AS61" s="22">
        <f t="shared" si="19"/>
        <v>0</v>
      </c>
      <c r="AT61" s="21">
        <f t="shared" si="19"/>
        <v>0</v>
      </c>
      <c r="AU61" s="23">
        <f t="shared" si="19"/>
        <v>0</v>
      </c>
    </row>
  </sheetData>
  <mergeCells count="2">
    <mergeCell ref="C1:X2"/>
    <mergeCell ref="Z1:AU2"/>
  </mergeCells>
  <pageMargins left="0.118055555555556" right="0.118055555555556" top="0.74791666666666701" bottom="0.15763888888888899" header="0.51180555555555496" footer="0.51180555555555496"/>
  <pageSetup paperSize="9" scale="68" firstPageNumber="0" orientation="landscape" horizontalDpi="300" verticalDpi="300" r:id="rId1"/>
  <headerFooter>
    <oddFooter>&amp;C&amp;1#&amp;"Calibri"&amp;10&amp;K000000Usage Interne / Internal Use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workbookViewId="0"/>
  </sheetViews>
  <sheetFormatPr defaultColWidth="11.42578125" defaultRowHeight="12" x14ac:dyDescent="0.2"/>
  <cols>
    <col min="1" max="1" width="13.7109375" bestFit="1" customWidth="1"/>
    <col min="2" max="3" width="11.5703125" bestFit="1" customWidth="1"/>
    <col min="6" max="6" width="19.7109375" bestFit="1" customWidth="1"/>
    <col min="7" max="7" width="11.5703125" bestFit="1" customWidth="1"/>
  </cols>
  <sheetData>
    <row r="1" spans="1:7" x14ac:dyDescent="0.2">
      <c r="A1" s="587" t="s">
        <v>163</v>
      </c>
    </row>
    <row r="2" spans="1:7" x14ac:dyDescent="0.2">
      <c r="B2" s="587" t="s">
        <v>164</v>
      </c>
      <c r="C2" s="586">
        <f>12*360</f>
        <v>4320</v>
      </c>
      <c r="D2" t="s">
        <v>165</v>
      </c>
      <c r="F2" s="587" t="s">
        <v>166</v>
      </c>
      <c r="G2" s="586">
        <f>C2</f>
        <v>4320</v>
      </c>
    </row>
    <row r="4" spans="1:7" x14ac:dyDescent="0.2">
      <c r="B4" t="s">
        <v>167</v>
      </c>
      <c r="C4" s="586">
        <v>320.39999999999992</v>
      </c>
    </row>
    <row r="7" spans="1:7" x14ac:dyDescent="0.2">
      <c r="A7" s="587" t="s">
        <v>168</v>
      </c>
    </row>
    <row r="8" spans="1:7" x14ac:dyDescent="0.2">
      <c r="B8" t="s">
        <v>167</v>
      </c>
      <c r="C8" s="586">
        <v>695.65</v>
      </c>
      <c r="F8" t="s">
        <v>169</v>
      </c>
      <c r="G8" s="586">
        <v>900</v>
      </c>
    </row>
    <row r="10" spans="1:7" x14ac:dyDescent="0.2">
      <c r="B10" t="s">
        <v>170</v>
      </c>
      <c r="C10" s="586">
        <v>200</v>
      </c>
    </row>
    <row r="11" spans="1:7" x14ac:dyDescent="0.2">
      <c r="G11" s="588"/>
    </row>
    <row r="14" spans="1:7" x14ac:dyDescent="0.2">
      <c r="A14" s="587" t="s">
        <v>171</v>
      </c>
    </row>
    <row r="15" spans="1:7" x14ac:dyDescent="0.2">
      <c r="B15" t="s">
        <v>172</v>
      </c>
      <c r="C15" s="586">
        <v>55</v>
      </c>
    </row>
    <row r="16" spans="1:7" x14ac:dyDescent="0.2">
      <c r="B16" t="s">
        <v>173</v>
      </c>
      <c r="C16" s="586">
        <v>500</v>
      </c>
    </row>
    <row r="17" spans="1:7" x14ac:dyDescent="0.2">
      <c r="B17" t="s">
        <v>174</v>
      </c>
      <c r="C17" s="586">
        <f>10*12</f>
        <v>120</v>
      </c>
    </row>
    <row r="18" spans="1:7" x14ac:dyDescent="0.2">
      <c r="A18" s="587" t="s">
        <v>175</v>
      </c>
      <c r="C18" s="586"/>
    </row>
    <row r="19" spans="1:7" x14ac:dyDescent="0.2">
      <c r="B19" t="s">
        <v>176</v>
      </c>
      <c r="C19" s="586">
        <v>200</v>
      </c>
      <c r="F19" t="s">
        <v>176</v>
      </c>
      <c r="G19" s="586">
        <v>200</v>
      </c>
    </row>
    <row r="20" spans="1:7" x14ac:dyDescent="0.2">
      <c r="C20" s="586"/>
    </row>
    <row r="21" spans="1:7" x14ac:dyDescent="0.2">
      <c r="B21" t="s">
        <v>177</v>
      </c>
      <c r="C21" s="586">
        <v>9400</v>
      </c>
      <c r="F21" t="s">
        <v>178</v>
      </c>
      <c r="G21" s="586">
        <v>6186.5629166666804</v>
      </c>
    </row>
    <row r="22" spans="1:7" x14ac:dyDescent="0.2">
      <c r="C22" s="586"/>
    </row>
    <row r="23" spans="1:7" x14ac:dyDescent="0.2">
      <c r="C23" s="586"/>
    </row>
    <row r="24" spans="1:7" x14ac:dyDescent="0.2">
      <c r="C24" s="586"/>
    </row>
    <row r="25" spans="1:7" x14ac:dyDescent="0.2">
      <c r="C25" s="586"/>
    </row>
    <row r="27" spans="1:7" x14ac:dyDescent="0.2">
      <c r="B27" t="s">
        <v>179</v>
      </c>
    </row>
    <row r="28" spans="1:7" x14ac:dyDescent="0.2">
      <c r="C28" s="586">
        <f>SUM(C1:C25)</f>
        <v>15811.05</v>
      </c>
      <c r="F28" t="s">
        <v>180</v>
      </c>
      <c r="G28" s="586">
        <f>SUM(G1:G25)</f>
        <v>11606.56291666668</v>
      </c>
    </row>
    <row r="29" spans="1:7" x14ac:dyDescent="0.2">
      <c r="G29" s="586"/>
    </row>
    <row r="30" spans="1:7" x14ac:dyDescent="0.2">
      <c r="E30" t="s">
        <v>181</v>
      </c>
    </row>
    <row r="31" spans="1:7" x14ac:dyDescent="0.2">
      <c r="E31" s="588">
        <f>G28-C28</f>
        <v>-4204.4870833333189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A1EC8-F38B-4F0A-9270-434EEC35CB49}">
  <sheetPr>
    <tabColor rgb="FFFF0000"/>
  </sheetPr>
  <dimension ref="A1:N57"/>
  <sheetViews>
    <sheetView topLeftCell="A10" workbookViewId="0">
      <selection activeCell="I8" sqref="I8"/>
    </sheetView>
  </sheetViews>
  <sheetFormatPr defaultRowHeight="12" x14ac:dyDescent="0.2"/>
  <cols>
    <col min="1" max="1" width="49.28515625" style="1193" bestFit="1" customWidth="1"/>
    <col min="2" max="2" width="16.5703125" style="1193" customWidth="1"/>
    <col min="3" max="3" width="6.42578125" style="1193" bestFit="1" customWidth="1"/>
    <col min="4" max="4" width="7.42578125" style="1193" bestFit="1" customWidth="1"/>
    <col min="5" max="5" width="13.28515625" style="1193" customWidth="1"/>
    <col min="6" max="6" width="15.7109375" style="1193" customWidth="1"/>
    <col min="7" max="7" width="5" style="1193" customWidth="1"/>
    <col min="8" max="8" width="6.85546875" style="1193" customWidth="1"/>
    <col min="9" max="9" width="11.5703125" style="1193" customWidth="1"/>
    <col min="10" max="11" width="13.7109375" style="1193" customWidth="1"/>
  </cols>
  <sheetData>
    <row r="1" spans="1:14" ht="25.5" x14ac:dyDescent="0.35">
      <c r="A1" s="1284" t="s">
        <v>182</v>
      </c>
      <c r="B1" s="1284"/>
      <c r="C1" s="1284"/>
      <c r="D1" s="1284"/>
      <c r="E1" s="1284"/>
      <c r="F1" s="1284"/>
      <c r="G1" s="1284"/>
      <c r="H1" s="1284"/>
      <c r="I1" s="1284"/>
      <c r="J1" s="1284"/>
      <c r="K1" s="1284"/>
    </row>
    <row r="2" spans="1:14" ht="12.75" x14ac:dyDescent="0.2">
      <c r="A2" s="1285" t="s">
        <v>183</v>
      </c>
      <c r="B2" s="1285"/>
      <c r="C2" s="1286"/>
      <c r="D2" s="1286"/>
      <c r="E2" s="1286"/>
      <c r="F2" s="1286"/>
      <c r="G2" s="1286"/>
      <c r="H2" s="1286"/>
      <c r="I2" s="1286"/>
      <c r="J2" s="1286"/>
      <c r="K2" s="1286"/>
    </row>
    <row r="3" spans="1:14" ht="15" x14ac:dyDescent="0.2">
      <c r="A3" s="1125" t="s">
        <v>184</v>
      </c>
      <c r="B3" s="1126"/>
      <c r="C3" s="1287" t="s">
        <v>185</v>
      </c>
      <c r="D3" s="1288"/>
      <c r="E3" s="1288"/>
      <c r="F3" s="1289"/>
      <c r="G3" s="1290" t="s">
        <v>186</v>
      </c>
      <c r="H3" s="1291"/>
      <c r="I3" s="1292"/>
      <c r="J3" s="1293" t="s">
        <v>187</v>
      </c>
      <c r="K3" s="1294"/>
    </row>
    <row r="4" spans="1:14" ht="12.75" x14ac:dyDescent="0.2">
      <c r="A4" s="1125" t="s">
        <v>188</v>
      </c>
      <c r="B4" s="1126"/>
      <c r="C4" s="1279"/>
      <c r="D4" s="1280"/>
      <c r="E4" s="1280"/>
      <c r="F4" s="1281"/>
      <c r="G4" s="1282" t="s">
        <v>189</v>
      </c>
      <c r="H4" s="1283"/>
      <c r="I4" s="1127">
        <v>15</v>
      </c>
      <c r="J4" s="1128" t="s">
        <v>189</v>
      </c>
      <c r="K4" s="1129">
        <v>50</v>
      </c>
      <c r="L4" t="s">
        <v>190</v>
      </c>
      <c r="M4">
        <f>K4/I4</f>
        <v>3.3333333333333335</v>
      </c>
    </row>
    <row r="5" spans="1:14" ht="12.75" x14ac:dyDescent="0.2">
      <c r="A5" s="1125" t="s">
        <v>191</v>
      </c>
      <c r="B5" s="1126" t="s">
        <v>192</v>
      </c>
      <c r="C5" s="1295">
        <v>160</v>
      </c>
      <c r="D5" s="1296"/>
      <c r="E5" s="1296"/>
      <c r="F5" s="1297"/>
      <c r="G5" s="1282" t="s">
        <v>193</v>
      </c>
      <c r="H5" s="1283"/>
      <c r="I5" s="1127">
        <v>13</v>
      </c>
      <c r="J5" s="1128" t="s">
        <v>193</v>
      </c>
      <c r="K5" s="1129">
        <v>50</v>
      </c>
      <c r="L5" t="s">
        <v>190</v>
      </c>
      <c r="M5">
        <f>K5/I5</f>
        <v>3.8461538461538463</v>
      </c>
    </row>
    <row r="6" spans="1:14" ht="12.75" x14ac:dyDescent="0.2">
      <c r="A6" s="1125" t="s">
        <v>194</v>
      </c>
      <c r="B6" s="1126" t="s">
        <v>195</v>
      </c>
      <c r="C6" s="1295">
        <v>150</v>
      </c>
      <c r="D6" s="1296"/>
      <c r="E6" s="1296"/>
      <c r="F6" s="1297"/>
      <c r="G6" s="1282" t="s">
        <v>196</v>
      </c>
      <c r="H6" s="1283"/>
      <c r="I6" s="1127">
        <v>7</v>
      </c>
      <c r="J6" s="1128" t="s">
        <v>197</v>
      </c>
      <c r="K6" s="1129">
        <v>100</v>
      </c>
      <c r="L6" t="s">
        <v>190</v>
      </c>
      <c r="M6">
        <f>K6/I6</f>
        <v>14.285714285714286</v>
      </c>
    </row>
    <row r="7" spans="1:14" ht="12.75" x14ac:dyDescent="0.2">
      <c r="A7" s="1125" t="s">
        <v>198</v>
      </c>
      <c r="B7" s="1126"/>
      <c r="C7" s="1298">
        <v>45851</v>
      </c>
      <c r="D7" s="1299"/>
      <c r="E7" s="1299"/>
      <c r="F7" s="1300"/>
      <c r="G7" s="1282" t="s">
        <v>199</v>
      </c>
      <c r="H7" s="1283"/>
      <c r="I7" s="1127">
        <v>5</v>
      </c>
      <c r="J7" s="1128" t="s">
        <v>199</v>
      </c>
      <c r="K7" s="1129">
        <v>0</v>
      </c>
      <c r="L7" t="s">
        <v>190</v>
      </c>
      <c r="M7">
        <f>K7/I7</f>
        <v>0</v>
      </c>
      <c r="N7" t="s">
        <v>200</v>
      </c>
    </row>
    <row r="8" spans="1:14" ht="12.75" x14ac:dyDescent="0.2">
      <c r="A8" s="1125" t="s">
        <v>201</v>
      </c>
      <c r="B8" s="1126"/>
      <c r="C8" s="1298">
        <v>45859</v>
      </c>
      <c r="D8" s="1299"/>
      <c r="E8" s="1299"/>
      <c r="F8" s="1300"/>
      <c r="G8" s="1282" t="s">
        <v>202</v>
      </c>
      <c r="H8" s="1283"/>
      <c r="I8" s="1127">
        <v>10</v>
      </c>
      <c r="J8" s="1130" t="s">
        <v>3</v>
      </c>
      <c r="K8" s="1131">
        <f>SUM(K4:K7)</f>
        <v>200</v>
      </c>
    </row>
    <row r="9" spans="1:14" ht="12.75" x14ac:dyDescent="0.2">
      <c r="A9" s="1125" t="s">
        <v>203</v>
      </c>
      <c r="B9" s="1126"/>
      <c r="C9" s="1301">
        <f>C8-C7+1</f>
        <v>9</v>
      </c>
      <c r="D9" s="1302"/>
      <c r="E9" s="1302"/>
      <c r="F9" s="1303"/>
      <c r="G9" s="1282"/>
      <c r="H9" s="1283"/>
      <c r="I9" s="1127"/>
      <c r="J9" s="1132"/>
      <c r="K9" s="1133"/>
    </row>
    <row r="10" spans="1:14" ht="12.75" x14ac:dyDescent="0.2">
      <c r="A10" s="1125" t="s">
        <v>204</v>
      </c>
      <c r="B10" s="1126"/>
      <c r="C10" s="1304">
        <f>K8</f>
        <v>200</v>
      </c>
      <c r="D10" s="1305"/>
      <c r="E10" s="1305"/>
      <c r="F10" s="1306"/>
      <c r="G10" s="1307" t="s">
        <v>3</v>
      </c>
      <c r="H10" s="1308"/>
      <c r="I10" s="1134">
        <f>SUM(I4:I9)</f>
        <v>50</v>
      </c>
      <c r="J10" s="1135" t="s">
        <v>205</v>
      </c>
      <c r="K10" s="1136">
        <f>(K8+I10)*C9</f>
        <v>2250</v>
      </c>
    </row>
    <row r="11" spans="1:14" ht="15" x14ac:dyDescent="0.25">
      <c r="A11" s="1137"/>
      <c r="B11" s="1137"/>
      <c r="C11" s="1137"/>
      <c r="D11" s="1137"/>
      <c r="E11" s="1137"/>
      <c r="F11" s="1137"/>
      <c r="G11" s="1137"/>
      <c r="H11" s="1310"/>
      <c r="I11" s="1310"/>
      <c r="J11" s="1137"/>
      <c r="K11" s="1137"/>
    </row>
    <row r="12" spans="1:14" ht="75" x14ac:dyDescent="0.2">
      <c r="A12" s="1311" t="s">
        <v>206</v>
      </c>
      <c r="B12" s="1311"/>
      <c r="C12" s="1311"/>
      <c r="D12" s="1311"/>
      <c r="E12" s="1311"/>
      <c r="F12" s="1312"/>
      <c r="G12" s="1313" t="s">
        <v>207</v>
      </c>
      <c r="H12" s="1314"/>
      <c r="I12" s="1314"/>
      <c r="J12" s="1315"/>
      <c r="K12" s="1138"/>
    </row>
    <row r="13" spans="1:14" ht="15" x14ac:dyDescent="0.25">
      <c r="A13" s="1137"/>
      <c r="B13" s="1137"/>
      <c r="C13" s="1139" t="s">
        <v>208</v>
      </c>
      <c r="D13" s="1140" t="s">
        <v>209</v>
      </c>
      <c r="E13" s="1141" t="s">
        <v>210</v>
      </c>
      <c r="F13" s="1142" t="s">
        <v>211</v>
      </c>
      <c r="G13" s="1143" t="s">
        <v>208</v>
      </c>
      <c r="H13" s="1140" t="s">
        <v>209</v>
      </c>
      <c r="I13" s="1141" t="s">
        <v>210</v>
      </c>
      <c r="J13" s="1144" t="s">
        <v>211</v>
      </c>
      <c r="K13" s="1144" t="s">
        <v>212</v>
      </c>
    </row>
    <row r="14" spans="1:14" ht="18.75" x14ac:dyDescent="0.3">
      <c r="A14" s="1316" t="s">
        <v>213</v>
      </c>
      <c r="B14" s="1317"/>
      <c r="C14" s="1318"/>
      <c r="D14" s="1318"/>
      <c r="E14" s="1318"/>
      <c r="F14" s="1318"/>
      <c r="G14" s="1318"/>
      <c r="H14" s="1318"/>
      <c r="I14" s="1318"/>
      <c r="J14" s="1318"/>
      <c r="K14" s="1145"/>
    </row>
    <row r="15" spans="1:14" ht="15" x14ac:dyDescent="0.25">
      <c r="A15" s="1319" t="s">
        <v>214</v>
      </c>
      <c r="B15" s="1320"/>
      <c r="C15" s="1320"/>
      <c r="D15" s="1320"/>
      <c r="E15" s="1320"/>
      <c r="F15" s="1320"/>
      <c r="G15" s="1320"/>
      <c r="H15" s="1320"/>
      <c r="I15" s="1320"/>
      <c r="J15" s="1321"/>
      <c r="K15" s="1145"/>
    </row>
    <row r="16" spans="1:14" ht="12.75" x14ac:dyDescent="0.2">
      <c r="A16" s="1146" t="s">
        <v>215</v>
      </c>
      <c r="B16" s="1147" t="s">
        <v>106</v>
      </c>
      <c r="C16" s="1139">
        <f>C9</f>
        <v>9</v>
      </c>
      <c r="D16" s="1148">
        <f>C10+I10</f>
        <v>250</v>
      </c>
      <c r="E16" s="1149">
        <v>8</v>
      </c>
      <c r="F16" s="1150">
        <f t="shared" ref="F16:F19" si="0">C16*D16*E16</f>
        <v>18000</v>
      </c>
      <c r="G16" s="1151"/>
      <c r="H16" s="1148"/>
      <c r="I16" s="1152"/>
      <c r="J16" s="1150"/>
      <c r="K16" s="1150"/>
    </row>
    <row r="17" spans="1:11" ht="12.75" x14ac:dyDescent="0.2">
      <c r="A17" s="1146" t="s">
        <v>216</v>
      </c>
      <c r="B17" s="1147" t="s">
        <v>107</v>
      </c>
      <c r="C17" s="1139">
        <f>$C$9</f>
        <v>9</v>
      </c>
      <c r="D17" s="1148">
        <f>$C$10+$I$10</f>
        <v>250</v>
      </c>
      <c r="E17" s="1149">
        <v>2.5000000000000001E-2</v>
      </c>
      <c r="F17" s="1150">
        <f t="shared" si="0"/>
        <v>56.25</v>
      </c>
      <c r="G17" s="1151"/>
      <c r="H17" s="1148"/>
      <c r="I17" s="1152"/>
      <c r="J17" s="1150"/>
      <c r="K17" s="1150"/>
    </row>
    <row r="18" spans="1:11" ht="12.75" x14ac:dyDescent="0.2">
      <c r="A18" s="1146" t="s">
        <v>217</v>
      </c>
      <c r="B18" s="1147" t="s">
        <v>120</v>
      </c>
      <c r="C18" s="1139">
        <f t="shared" ref="C18:C20" si="1">$C$9</f>
        <v>9</v>
      </c>
      <c r="D18" s="1148">
        <f t="shared" ref="D18:D20" si="2">$C$10+$I$10</f>
        <v>250</v>
      </c>
      <c r="E18" s="1149">
        <v>0.43</v>
      </c>
      <c r="F18" s="1150">
        <f>C18*D18*E18+97</f>
        <v>1064.5</v>
      </c>
      <c r="G18" s="1151"/>
      <c r="H18" s="1148"/>
      <c r="I18" s="1152"/>
      <c r="J18" s="1150"/>
      <c r="K18" s="1150"/>
    </row>
    <row r="19" spans="1:11" ht="12.75" x14ac:dyDescent="0.2">
      <c r="A19" s="1146" t="s">
        <v>218</v>
      </c>
      <c r="B19" s="1147" t="s">
        <v>107</v>
      </c>
      <c r="C19" s="1139">
        <f t="shared" si="1"/>
        <v>9</v>
      </c>
      <c r="D19" s="1148">
        <f t="shared" si="2"/>
        <v>250</v>
      </c>
      <c r="E19" s="1149">
        <v>1</v>
      </c>
      <c r="F19" s="1150">
        <f t="shared" si="0"/>
        <v>2250</v>
      </c>
      <c r="G19" s="1151"/>
      <c r="H19" s="1148"/>
      <c r="I19" s="1152"/>
      <c r="J19" s="1150"/>
      <c r="K19" s="1150"/>
    </row>
    <row r="20" spans="1:11" ht="12.75" x14ac:dyDescent="0.2">
      <c r="A20" s="1146" t="s">
        <v>219</v>
      </c>
      <c r="B20" s="1147" t="s">
        <v>108</v>
      </c>
      <c r="C20" s="1139">
        <f t="shared" si="1"/>
        <v>9</v>
      </c>
      <c r="D20" s="1148">
        <f t="shared" si="2"/>
        <v>250</v>
      </c>
      <c r="E20" s="1153"/>
      <c r="F20" s="1150">
        <v>372.5</v>
      </c>
      <c r="G20" s="1151"/>
      <c r="H20" s="1148"/>
      <c r="I20" s="1154"/>
      <c r="J20" s="1150"/>
      <c r="K20" s="1150"/>
    </row>
    <row r="21" spans="1:11" ht="12.75" x14ac:dyDescent="0.2">
      <c r="A21" s="1146" t="s">
        <v>220</v>
      </c>
      <c r="B21" s="1155" t="s">
        <v>116</v>
      </c>
      <c r="C21" s="1139">
        <v>8</v>
      </c>
      <c r="D21" s="1148">
        <f>C10</f>
        <v>200</v>
      </c>
      <c r="E21" s="1149">
        <v>0</v>
      </c>
      <c r="F21" s="1150">
        <f t="shared" ref="F21" si="3">C21*D21*E21</f>
        <v>0</v>
      </c>
      <c r="G21" s="1151"/>
      <c r="H21" s="1148"/>
      <c r="I21" s="1152"/>
      <c r="J21" s="1150"/>
      <c r="K21" s="1150"/>
    </row>
    <row r="22" spans="1:11" ht="12.75" x14ac:dyDescent="0.2">
      <c r="A22" s="1146" t="s">
        <v>221</v>
      </c>
      <c r="B22" s="1147" t="s">
        <v>110</v>
      </c>
      <c r="C22" s="1139">
        <f>C9</f>
        <v>9</v>
      </c>
      <c r="D22" s="1148">
        <f>C10+I10</f>
        <v>250</v>
      </c>
      <c r="E22" s="1149"/>
      <c r="F22" s="1150">
        <v>100</v>
      </c>
      <c r="G22" s="1151"/>
      <c r="H22" s="1148"/>
      <c r="I22" s="1152"/>
      <c r="J22" s="1150"/>
      <c r="K22" s="1150"/>
    </row>
    <row r="23" spans="1:11" ht="15" x14ac:dyDescent="0.25">
      <c r="A23" s="1156" t="s">
        <v>222</v>
      </c>
      <c r="B23" s="1157"/>
      <c r="C23" s="1158"/>
      <c r="D23" s="1159"/>
      <c r="E23" s="1160"/>
      <c r="F23" s="1161">
        <f>SUM(F16:F22)</f>
        <v>21843.25</v>
      </c>
      <c r="G23" s="1162"/>
      <c r="H23" s="1163"/>
      <c r="I23" s="1164"/>
      <c r="J23" s="1161"/>
      <c r="K23" s="1161"/>
    </row>
    <row r="24" spans="1:11" ht="18.75" x14ac:dyDescent="0.3">
      <c r="A24" s="1316" t="s">
        <v>223</v>
      </c>
      <c r="B24" s="1317"/>
      <c r="C24" s="1318"/>
      <c r="D24" s="1318"/>
      <c r="E24" s="1318"/>
      <c r="F24" s="1318"/>
      <c r="G24" s="1318"/>
      <c r="H24" s="1318"/>
      <c r="I24" s="1318"/>
      <c r="J24" s="1318"/>
      <c r="K24" s="1145"/>
    </row>
    <row r="25" spans="1:11" ht="15.75" x14ac:dyDescent="0.25">
      <c r="A25" s="1322" t="s">
        <v>224</v>
      </c>
      <c r="B25" s="1323"/>
      <c r="C25" s="1286"/>
      <c r="D25" s="1286"/>
      <c r="E25" s="1286"/>
      <c r="F25" s="1286"/>
      <c r="G25" s="1286"/>
      <c r="H25" s="1286"/>
      <c r="I25" s="1286"/>
      <c r="J25" s="1286"/>
      <c r="K25" s="1145"/>
    </row>
    <row r="26" spans="1:11" ht="15" x14ac:dyDescent="0.25">
      <c r="A26" s="1319" t="s">
        <v>225</v>
      </c>
      <c r="B26" s="1320"/>
      <c r="C26" s="1320"/>
      <c r="D26" s="1320"/>
      <c r="E26" s="1320"/>
      <c r="F26" s="1320"/>
      <c r="G26" s="1320"/>
      <c r="H26" s="1320"/>
      <c r="I26" s="1320"/>
      <c r="J26" s="1321"/>
      <c r="K26" s="1145"/>
    </row>
    <row r="27" spans="1:11" ht="12.75" x14ac:dyDescent="0.2">
      <c r="A27" s="1146" t="s">
        <v>226</v>
      </c>
      <c r="B27" s="1155" t="s">
        <v>124</v>
      </c>
      <c r="C27" s="1139">
        <f t="shared" ref="C27:C30" si="4">$C$9</f>
        <v>9</v>
      </c>
      <c r="D27" s="1148">
        <f t="shared" ref="D27:D30" si="5">$C$10+$I$10</f>
        <v>250</v>
      </c>
      <c r="E27" s="1149">
        <v>4</v>
      </c>
      <c r="F27" s="1150">
        <f t="shared" ref="F27:F30" si="6">C27*D27*E27</f>
        <v>9000</v>
      </c>
      <c r="G27" s="1151"/>
      <c r="H27" s="1148"/>
      <c r="I27" s="1152"/>
      <c r="J27" s="1150"/>
      <c r="K27" s="1150"/>
    </row>
    <row r="28" spans="1:11" ht="12.75" x14ac:dyDescent="0.2">
      <c r="A28" s="1146" t="s">
        <v>227</v>
      </c>
      <c r="B28" s="1147" t="s">
        <v>126</v>
      </c>
      <c r="C28" s="1139">
        <f t="shared" si="4"/>
        <v>9</v>
      </c>
      <c r="D28" s="1148">
        <v>2</v>
      </c>
      <c r="E28" s="1149">
        <v>60</v>
      </c>
      <c r="F28" s="1150">
        <f t="shared" si="6"/>
        <v>1080</v>
      </c>
      <c r="G28" s="1151"/>
      <c r="H28" s="1148"/>
      <c r="I28" s="1152"/>
      <c r="J28" s="1150"/>
      <c r="K28" s="1150"/>
    </row>
    <row r="29" spans="1:11" ht="12.75" x14ac:dyDescent="0.2">
      <c r="A29" s="1146" t="s">
        <v>228</v>
      </c>
      <c r="B29" s="1147" t="s">
        <v>132</v>
      </c>
      <c r="C29" s="1139">
        <f t="shared" si="4"/>
        <v>9</v>
      </c>
      <c r="D29" s="1148">
        <f t="shared" si="5"/>
        <v>250</v>
      </c>
      <c r="E29" s="1149"/>
      <c r="F29" s="1150">
        <f t="shared" si="6"/>
        <v>0</v>
      </c>
      <c r="G29" s="1151"/>
      <c r="H29" s="1148"/>
      <c r="I29" s="1152"/>
      <c r="J29" s="1150"/>
      <c r="K29" s="1150"/>
    </row>
    <row r="30" spans="1:11" ht="12.75" x14ac:dyDescent="0.2">
      <c r="A30" s="1146" t="s">
        <v>229</v>
      </c>
      <c r="B30" s="1147" t="s">
        <v>130</v>
      </c>
      <c r="C30" s="1139">
        <f t="shared" si="4"/>
        <v>9</v>
      </c>
      <c r="D30" s="1148">
        <f t="shared" si="5"/>
        <v>250</v>
      </c>
      <c r="E30" s="1149"/>
      <c r="F30" s="1150">
        <f t="shared" si="6"/>
        <v>0</v>
      </c>
      <c r="G30" s="1151"/>
      <c r="H30" s="1148"/>
      <c r="I30" s="1152"/>
      <c r="J30" s="1150"/>
      <c r="K30" s="1150"/>
    </row>
    <row r="31" spans="1:11" ht="15.75" x14ac:dyDescent="0.25">
      <c r="A31" s="1156" t="s">
        <v>230</v>
      </c>
      <c r="B31" s="1165"/>
      <c r="C31" s="1158"/>
      <c r="D31" s="1159"/>
      <c r="E31" s="1160"/>
      <c r="F31" s="1161">
        <f>SUM(F27:F30)</f>
        <v>10080</v>
      </c>
      <c r="G31" s="1162"/>
      <c r="H31" s="1163"/>
      <c r="I31" s="1164"/>
      <c r="J31" s="1161"/>
      <c r="K31" s="1161"/>
    </row>
    <row r="32" spans="1:11" ht="15" x14ac:dyDescent="0.25">
      <c r="A32" s="1319" t="s">
        <v>231</v>
      </c>
      <c r="B32" s="1320"/>
      <c r="C32" s="1320"/>
      <c r="D32" s="1320"/>
      <c r="E32" s="1320"/>
      <c r="F32" s="1320"/>
      <c r="G32" s="1320"/>
      <c r="H32" s="1320"/>
      <c r="I32" s="1320"/>
      <c r="J32" s="1324"/>
      <c r="K32" s="1145"/>
    </row>
    <row r="33" spans="1:11" ht="12.75" x14ac:dyDescent="0.2">
      <c r="A33" s="1146" t="s">
        <v>232</v>
      </c>
      <c r="B33" s="1147" t="s">
        <v>111</v>
      </c>
      <c r="C33" s="1139">
        <v>1</v>
      </c>
      <c r="D33" s="1148">
        <v>1</v>
      </c>
      <c r="E33" s="1149"/>
      <c r="F33" s="1150">
        <f t="shared" ref="F33:F36" si="7">C33*D33*E33</f>
        <v>0</v>
      </c>
      <c r="G33" s="1151"/>
      <c r="H33" s="1148"/>
      <c r="I33" s="1149"/>
      <c r="J33" s="1150"/>
      <c r="K33" s="1150"/>
    </row>
    <row r="34" spans="1:11" ht="12.75" x14ac:dyDescent="0.2">
      <c r="A34" s="1146" t="s">
        <v>233</v>
      </c>
      <c r="B34" s="1147" t="s">
        <v>138</v>
      </c>
      <c r="C34" s="1139">
        <v>1</v>
      </c>
      <c r="D34" s="1148">
        <v>1</v>
      </c>
      <c r="E34" s="1149"/>
      <c r="F34" s="1194">
        <v>746.75</v>
      </c>
      <c r="G34" s="1151"/>
      <c r="H34" s="1148"/>
      <c r="I34" s="1149"/>
      <c r="J34" s="1150"/>
      <c r="K34" s="1150"/>
    </row>
    <row r="35" spans="1:11" ht="12.75" x14ac:dyDescent="0.2">
      <c r="A35" s="1146" t="s">
        <v>234</v>
      </c>
      <c r="B35" s="1147" t="s">
        <v>137</v>
      </c>
      <c r="C35" s="1139">
        <v>1</v>
      </c>
      <c r="D35" s="1148">
        <f>I4+I5+K4+K5</f>
        <v>128</v>
      </c>
      <c r="E35" s="1149"/>
      <c r="F35" s="1150">
        <f t="shared" ref="F35" si="8">C35*D35*E35</f>
        <v>0</v>
      </c>
      <c r="G35" s="1151"/>
      <c r="H35" s="1148"/>
      <c r="I35" s="1152"/>
      <c r="J35" s="1150"/>
      <c r="K35" s="1150"/>
    </row>
    <row r="36" spans="1:11" ht="12.75" x14ac:dyDescent="0.2">
      <c r="A36" s="1146" t="s">
        <v>235</v>
      </c>
      <c r="B36" s="1147" t="s">
        <v>137</v>
      </c>
      <c r="C36" s="1139">
        <v>1</v>
      </c>
      <c r="D36" s="1148">
        <f>I6+I7+K7+K6</f>
        <v>112</v>
      </c>
      <c r="E36" s="1149"/>
      <c r="F36" s="1150">
        <f t="shared" si="7"/>
        <v>0</v>
      </c>
      <c r="G36" s="1151"/>
      <c r="H36" s="1148"/>
      <c r="I36" s="1152"/>
      <c r="J36" s="1150"/>
      <c r="K36" s="1150"/>
    </row>
    <row r="37" spans="1:11" ht="15.75" x14ac:dyDescent="0.25">
      <c r="A37" s="1156" t="s">
        <v>236</v>
      </c>
      <c r="B37" s="1165"/>
      <c r="C37" s="1158"/>
      <c r="D37" s="1159"/>
      <c r="E37" s="1160"/>
      <c r="F37" s="1161">
        <f>SUM(F33:F36)</f>
        <v>746.75</v>
      </c>
      <c r="G37" s="1162"/>
      <c r="H37" s="1163"/>
      <c r="I37" s="1164"/>
      <c r="J37" s="1161"/>
      <c r="K37" s="1161"/>
    </row>
    <row r="38" spans="1:11" ht="15" x14ac:dyDescent="0.25">
      <c r="A38" s="1319" t="s">
        <v>237</v>
      </c>
      <c r="B38" s="1320"/>
      <c r="C38" s="1320"/>
      <c r="D38" s="1320"/>
      <c r="E38" s="1320"/>
      <c r="F38" s="1320"/>
      <c r="G38" s="1320"/>
      <c r="H38" s="1320"/>
      <c r="I38" s="1320"/>
      <c r="J38" s="1321"/>
      <c r="K38" s="1145"/>
    </row>
    <row r="39" spans="1:11" ht="12.75" x14ac:dyDescent="0.2">
      <c r="A39" s="1168" t="s">
        <v>238</v>
      </c>
      <c r="B39" s="1169"/>
      <c r="C39" s="1166"/>
      <c r="D39" s="1167"/>
      <c r="E39" s="1170"/>
      <c r="F39" s="1150">
        <f>F49*0.1</f>
        <v>3130</v>
      </c>
      <c r="G39" s="1166"/>
      <c r="H39" s="1167"/>
      <c r="I39" s="1170"/>
      <c r="J39" s="1150"/>
      <c r="K39" s="1150"/>
    </row>
    <row r="40" spans="1:11" ht="12.75" x14ac:dyDescent="0.2">
      <c r="A40" s="1156" t="s">
        <v>239</v>
      </c>
      <c r="B40" s="1171"/>
      <c r="C40" s="1166"/>
      <c r="D40" s="1167"/>
      <c r="E40" s="1170"/>
      <c r="F40" s="1161">
        <f>F39</f>
        <v>3130</v>
      </c>
      <c r="G40" s="1166"/>
      <c r="H40" s="1167"/>
      <c r="I40" s="1170"/>
      <c r="J40" s="1161"/>
      <c r="K40" s="1161"/>
    </row>
    <row r="41" spans="1:11" ht="15" x14ac:dyDescent="0.25">
      <c r="A41" s="1172"/>
      <c r="B41" s="1172"/>
      <c r="C41" s="1172"/>
      <c r="D41" s="1172"/>
      <c r="E41" s="1137"/>
      <c r="F41" s="1173"/>
      <c r="G41" s="1137"/>
      <c r="H41" s="1137"/>
      <c r="I41" s="1137"/>
      <c r="J41" s="1173"/>
      <c r="K41" s="1145"/>
    </row>
    <row r="42" spans="1:11" ht="15" x14ac:dyDescent="0.25">
      <c r="A42" s="1172"/>
      <c r="B42" s="1172"/>
      <c r="C42" s="1172"/>
      <c r="D42" s="1172"/>
      <c r="E42" s="1137"/>
      <c r="F42" s="1173"/>
      <c r="G42" s="1137"/>
      <c r="H42" s="1137"/>
      <c r="I42" s="1137"/>
      <c r="J42" s="1173"/>
      <c r="K42" s="1145"/>
    </row>
    <row r="43" spans="1:11" ht="15" x14ac:dyDescent="0.25">
      <c r="A43" s="1172"/>
      <c r="B43" s="1172"/>
      <c r="C43" s="1172"/>
      <c r="D43" s="1172"/>
      <c r="E43" s="1137"/>
      <c r="F43" s="1173" t="s">
        <v>206</v>
      </c>
      <c r="G43" s="1137"/>
      <c r="H43" s="1137"/>
      <c r="I43" s="1137"/>
      <c r="J43" s="1173"/>
      <c r="K43" s="1145"/>
    </row>
    <row r="44" spans="1:11" ht="12.75" x14ac:dyDescent="0.2">
      <c r="A44" s="1174" t="s">
        <v>240</v>
      </c>
      <c r="B44" s="1175"/>
      <c r="C44" s="1175"/>
      <c r="D44" s="1176"/>
      <c r="E44" s="1177"/>
      <c r="F44" s="1178">
        <f>F45+F46</f>
        <v>35800</v>
      </c>
      <c r="G44" s="1325"/>
      <c r="H44" s="1326"/>
      <c r="I44" s="1327"/>
      <c r="J44" s="1178"/>
      <c r="K44" s="1145"/>
    </row>
    <row r="45" spans="1:11" ht="15" x14ac:dyDescent="0.25">
      <c r="A45" s="1179" t="s">
        <v>241</v>
      </c>
      <c r="B45" s="1179"/>
      <c r="C45" s="1179"/>
      <c r="D45" s="1179"/>
      <c r="E45" s="1179"/>
      <c r="F45" s="1180">
        <f>F37+F40+F31</f>
        <v>13956.75</v>
      </c>
      <c r="G45" s="1309"/>
      <c r="H45" s="1309"/>
      <c r="I45" s="1309"/>
      <c r="J45" s="1180"/>
      <c r="K45" s="1145"/>
    </row>
    <row r="46" spans="1:11" ht="15" x14ac:dyDescent="0.25">
      <c r="A46" s="1179" t="s">
        <v>242</v>
      </c>
      <c r="B46" s="1179"/>
      <c r="C46" s="1179"/>
      <c r="D46" s="1179"/>
      <c r="E46" s="1179"/>
      <c r="F46" s="1180">
        <f>F23</f>
        <v>21843.25</v>
      </c>
      <c r="G46" s="1328"/>
      <c r="H46" s="1328"/>
      <c r="I46" s="1328"/>
      <c r="J46" s="1180"/>
      <c r="K46" s="1145"/>
    </row>
    <row r="47" spans="1:11" ht="12.75" x14ac:dyDescent="0.2">
      <c r="A47" s="1181"/>
      <c r="B47" s="1172"/>
      <c r="C47" s="1172"/>
      <c r="D47" s="1172"/>
      <c r="E47" s="1172"/>
      <c r="F47" s="1172"/>
      <c r="G47" s="1329"/>
      <c r="H47" s="1329"/>
      <c r="I47" s="1329"/>
      <c r="J47" s="1172"/>
      <c r="K47" s="1145"/>
    </row>
    <row r="48" spans="1:11" ht="12.75" x14ac:dyDescent="0.2">
      <c r="A48" s="1182" t="s">
        <v>86</v>
      </c>
      <c r="B48" s="1183"/>
      <c r="C48" s="1183"/>
      <c r="D48" s="1184"/>
      <c r="E48" s="1185"/>
      <c r="F48" s="1186">
        <f>F49+F50</f>
        <v>35800</v>
      </c>
      <c r="G48" s="1330"/>
      <c r="H48" s="1331"/>
      <c r="I48" s="1332"/>
      <c r="J48" s="1186"/>
      <c r="K48" s="1145"/>
    </row>
    <row r="49" spans="1:11" ht="15" x14ac:dyDescent="0.25">
      <c r="A49" s="1179" t="s">
        <v>243</v>
      </c>
      <c r="B49" s="1179"/>
      <c r="C49" s="1179"/>
      <c r="D49" s="1179"/>
      <c r="E49" s="1179"/>
      <c r="F49" s="1180">
        <f>C5*(0.65*K8)+C6*(0.35*K8)</f>
        <v>31300</v>
      </c>
      <c r="G49" s="1309"/>
      <c r="H49" s="1309"/>
      <c r="I49" s="1309"/>
      <c r="J49" s="1180"/>
      <c r="K49" s="1145"/>
    </row>
    <row r="50" spans="1:11" ht="15" x14ac:dyDescent="0.25">
      <c r="A50" s="1179" t="s">
        <v>244</v>
      </c>
      <c r="B50" s="1179"/>
      <c r="C50" s="1179"/>
      <c r="D50" s="1179"/>
      <c r="E50" s="1179"/>
      <c r="F50" s="1180">
        <v>4500</v>
      </c>
      <c r="G50" s="1179"/>
      <c r="H50" s="1179"/>
      <c r="I50" s="1179"/>
      <c r="J50" s="1180"/>
      <c r="K50" s="1145"/>
    </row>
    <row r="51" spans="1:11" ht="12.75" x14ac:dyDescent="0.2">
      <c r="A51" s="1181"/>
      <c r="B51" s="1172"/>
      <c r="C51" s="1172"/>
      <c r="D51" s="1172"/>
      <c r="E51" s="1172"/>
      <c r="F51" s="1172"/>
      <c r="G51" s="1329"/>
      <c r="H51" s="1329"/>
      <c r="I51" s="1329"/>
      <c r="J51" s="1172"/>
      <c r="K51" s="1145"/>
    </row>
    <row r="52" spans="1:11" ht="12.75" x14ac:dyDescent="0.2">
      <c r="A52" s="1187" t="s">
        <v>245</v>
      </c>
      <c r="B52" s="1188"/>
      <c r="C52" s="1188"/>
      <c r="D52" s="1189"/>
      <c r="E52" s="1189"/>
      <c r="F52" s="1190">
        <f>F48-F44</f>
        <v>0</v>
      </c>
      <c r="G52" s="1190"/>
      <c r="H52" s="1190"/>
      <c r="I52" s="1190"/>
      <c r="J52" s="1190"/>
      <c r="K52" s="1145"/>
    </row>
    <row r="53" spans="1:11" ht="12.75" x14ac:dyDescent="0.2">
      <c r="A53" s="1191"/>
      <c r="B53" s="1191"/>
      <c r="C53" s="1191"/>
      <c r="D53" s="1191"/>
      <c r="E53" s="1191"/>
      <c r="F53" s="1191"/>
      <c r="G53" s="1191"/>
      <c r="H53" s="1191"/>
      <c r="I53" s="1191"/>
      <c r="J53" s="1191"/>
      <c r="K53" s="1191"/>
    </row>
    <row r="54" spans="1:11" x14ac:dyDescent="0.2">
      <c r="A54" s="1192"/>
      <c r="B54" s="1192"/>
      <c r="C54" s="1192"/>
      <c r="D54" s="1192"/>
      <c r="E54" s="1192"/>
      <c r="F54" s="1192"/>
      <c r="G54" s="1192"/>
      <c r="H54" s="1192"/>
      <c r="I54" s="1192"/>
      <c r="J54" s="1192"/>
      <c r="K54" s="1192"/>
    </row>
    <row r="55" spans="1:11" x14ac:dyDescent="0.2">
      <c r="A55" s="1192"/>
      <c r="B55" s="1192"/>
      <c r="C55" s="1192"/>
      <c r="D55" s="1192"/>
      <c r="E55" s="1192"/>
      <c r="F55" s="1192"/>
      <c r="G55" s="1192"/>
      <c r="H55" s="1192"/>
      <c r="I55" s="1192"/>
      <c r="J55" s="1192"/>
      <c r="K55" s="1192"/>
    </row>
    <row r="56" spans="1:11" x14ac:dyDescent="0.2">
      <c r="A56" s="1192"/>
      <c r="B56" s="1192"/>
      <c r="C56" s="1192"/>
      <c r="D56" s="1192"/>
      <c r="E56" s="1192"/>
      <c r="F56" s="1192"/>
      <c r="G56" s="1192"/>
      <c r="H56" s="1192"/>
      <c r="I56" s="1192"/>
      <c r="J56" s="1192"/>
      <c r="K56" s="1192"/>
    </row>
    <row r="57" spans="1:11" x14ac:dyDescent="0.2">
      <c r="A57" s="1192"/>
      <c r="B57" s="1192"/>
      <c r="C57" s="1192"/>
      <c r="D57" s="1192"/>
      <c r="E57" s="1192"/>
      <c r="F57" s="1213"/>
      <c r="G57" s="1192"/>
      <c r="H57" s="1192"/>
      <c r="I57" s="1192"/>
      <c r="J57" s="1192"/>
      <c r="K57" s="1192"/>
    </row>
  </sheetData>
  <mergeCells count="36">
    <mergeCell ref="G46:I46"/>
    <mergeCell ref="G47:I47"/>
    <mergeCell ref="G48:I48"/>
    <mergeCell ref="G49:I49"/>
    <mergeCell ref="G51:I51"/>
    <mergeCell ref="G45:I45"/>
    <mergeCell ref="H11:I11"/>
    <mergeCell ref="A12:F12"/>
    <mergeCell ref="G12:J12"/>
    <mergeCell ref="A14:J14"/>
    <mergeCell ref="A15:J15"/>
    <mergeCell ref="A24:J24"/>
    <mergeCell ref="A25:J25"/>
    <mergeCell ref="A26:J26"/>
    <mergeCell ref="A32:J32"/>
    <mergeCell ref="A38:J38"/>
    <mergeCell ref="G44:I44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C4E3-01FC-4795-ABAA-E80C402FE6B5}">
  <sheetPr>
    <tabColor rgb="FFFF0000"/>
  </sheetPr>
  <dimension ref="A1:P39"/>
  <sheetViews>
    <sheetView workbookViewId="0">
      <selection activeCell="C3" sqref="C3"/>
    </sheetView>
  </sheetViews>
  <sheetFormatPr defaultRowHeight="12" x14ac:dyDescent="0.2"/>
  <cols>
    <col min="1" max="1" width="8.140625" customWidth="1"/>
    <col min="2" max="2" width="17.140625" bestFit="1" customWidth="1"/>
    <col min="3" max="3" width="15.85546875" bestFit="1" customWidth="1"/>
    <col min="4" max="4" width="8.7109375" bestFit="1" customWidth="1"/>
    <col min="5" max="5" width="8.140625" customWidth="1"/>
    <col min="6" max="6" width="17.140625" bestFit="1" customWidth="1"/>
    <col min="7" max="7" width="15.85546875" bestFit="1" customWidth="1"/>
    <col min="8" max="8" width="8.7109375" bestFit="1" customWidth="1"/>
  </cols>
  <sheetData>
    <row r="1" spans="1:16" s="847" customFormat="1" x14ac:dyDescent="0.2">
      <c r="B1" s="1333" t="s">
        <v>247</v>
      </c>
      <c r="C1" s="1334"/>
      <c r="D1" s="1343"/>
      <c r="F1" s="1333" t="s">
        <v>248</v>
      </c>
      <c r="G1" s="1334"/>
      <c r="H1" s="1343"/>
    </row>
    <row r="2" spans="1:16" s="847" customFormat="1" x14ac:dyDescent="0.2">
      <c r="A2" s="847" t="s">
        <v>249</v>
      </c>
      <c r="B2" s="1205" t="s">
        <v>250</v>
      </c>
      <c r="C2" s="1206" t="s">
        <v>251</v>
      </c>
      <c r="D2" s="1207" t="s">
        <v>211</v>
      </c>
      <c r="F2" s="1205" t="s">
        <v>250</v>
      </c>
      <c r="G2" s="1206" t="s">
        <v>251</v>
      </c>
      <c r="H2" s="1207" t="s">
        <v>211</v>
      </c>
      <c r="J2" s="1333" t="s">
        <v>252</v>
      </c>
      <c r="K2" s="1334"/>
      <c r="L2" s="1334"/>
      <c r="M2" s="1334"/>
      <c r="N2" s="1334"/>
      <c r="O2" s="1211"/>
      <c r="P2" s="1212"/>
    </row>
    <row r="3" spans="1:16" x14ac:dyDescent="0.2">
      <c r="A3" s="1203" t="s">
        <v>253</v>
      </c>
      <c r="B3" s="1200">
        <v>240</v>
      </c>
      <c r="C3" s="1197">
        <f>'BP Petit Bivouac'!$C$5</f>
        <v>190</v>
      </c>
      <c r="D3" s="1208">
        <f>B3+C3</f>
        <v>430</v>
      </c>
      <c r="E3" s="1203" t="s">
        <v>253</v>
      </c>
      <c r="F3" s="1200">
        <v>215</v>
      </c>
      <c r="G3" s="1197">
        <f>'BP Petit Bivouac'!$C$6</f>
        <v>175</v>
      </c>
      <c r="H3" s="1208">
        <f>F3+G3</f>
        <v>390</v>
      </c>
      <c r="J3" s="1335" t="s">
        <v>254</v>
      </c>
      <c r="K3" s="1336"/>
      <c r="L3" s="1336"/>
      <c r="M3" s="1336"/>
      <c r="N3" s="1336"/>
      <c r="O3" s="1336"/>
      <c r="P3" s="1337"/>
    </row>
    <row r="4" spans="1:16" x14ac:dyDescent="0.2">
      <c r="A4" s="1204" t="s">
        <v>255</v>
      </c>
      <c r="B4" s="1201">
        <v>255</v>
      </c>
      <c r="C4" s="1198">
        <f>'BP Petit Bivouac'!$C$5</f>
        <v>190</v>
      </c>
      <c r="D4" s="1209">
        <f t="shared" ref="D4:D7" si="0">B4+C4</f>
        <v>445</v>
      </c>
      <c r="E4" s="1204" t="s">
        <v>255</v>
      </c>
      <c r="F4" s="1201">
        <v>230</v>
      </c>
      <c r="G4" s="1198">
        <f>'BP Petit Bivouac'!$C$6</f>
        <v>175</v>
      </c>
      <c r="H4" s="1209">
        <f t="shared" ref="H4:H7" si="1">F4+G4</f>
        <v>405</v>
      </c>
      <c r="J4" s="1335"/>
      <c r="K4" s="1336"/>
      <c r="L4" s="1336"/>
      <c r="M4" s="1336"/>
      <c r="N4" s="1336"/>
      <c r="O4" s="1336"/>
      <c r="P4" s="1337"/>
    </row>
    <row r="5" spans="1:16" x14ac:dyDescent="0.2">
      <c r="A5" s="1204" t="s">
        <v>256</v>
      </c>
      <c r="B5" s="1201">
        <v>280</v>
      </c>
      <c r="C5" s="1198">
        <f>'BP Petit Bivouac'!$C$5</f>
        <v>190</v>
      </c>
      <c r="D5" s="1209">
        <f t="shared" si="0"/>
        <v>470</v>
      </c>
      <c r="E5" s="1204" t="s">
        <v>256</v>
      </c>
      <c r="F5" s="1201">
        <v>255</v>
      </c>
      <c r="G5" s="1198">
        <f>'BP Petit Bivouac'!$C$6</f>
        <v>175</v>
      </c>
      <c r="H5" s="1209">
        <f t="shared" si="1"/>
        <v>430</v>
      </c>
      <c r="J5" s="1335"/>
      <c r="K5" s="1336"/>
      <c r="L5" s="1336"/>
      <c r="M5" s="1336"/>
      <c r="N5" s="1336"/>
      <c r="O5" s="1336"/>
      <c r="P5" s="1337"/>
    </row>
    <row r="6" spans="1:16" x14ac:dyDescent="0.2">
      <c r="A6" s="1204" t="s">
        <v>257</v>
      </c>
      <c r="B6" s="1201">
        <v>310</v>
      </c>
      <c r="C6" s="1198">
        <f>'BP Petit Bivouac'!$C$5</f>
        <v>190</v>
      </c>
      <c r="D6" s="1209">
        <f t="shared" si="0"/>
        <v>500</v>
      </c>
      <c r="E6" s="1204" t="s">
        <v>257</v>
      </c>
      <c r="F6" s="1201">
        <v>280</v>
      </c>
      <c r="G6" s="1198">
        <f>'BP Petit Bivouac'!$C$6</f>
        <v>175</v>
      </c>
      <c r="H6" s="1209">
        <f t="shared" si="1"/>
        <v>455</v>
      </c>
      <c r="J6" s="1195"/>
      <c r="P6" s="1196"/>
    </row>
    <row r="7" spans="1:16" x14ac:dyDescent="0.2">
      <c r="A7" s="1124" t="s">
        <v>258</v>
      </c>
      <c r="B7" s="1202">
        <v>345</v>
      </c>
      <c r="C7" s="1199">
        <f>'BP Petit Bivouac'!$C$5</f>
        <v>190</v>
      </c>
      <c r="D7" s="1210">
        <f t="shared" si="0"/>
        <v>535</v>
      </c>
      <c r="E7" s="1124" t="s">
        <v>258</v>
      </c>
      <c r="F7" s="1202">
        <v>315</v>
      </c>
      <c r="G7" s="1199">
        <f>'BP Petit Bivouac'!$C$6</f>
        <v>175</v>
      </c>
      <c r="H7" s="1210">
        <f t="shared" si="1"/>
        <v>490</v>
      </c>
      <c r="J7" s="1338" t="s">
        <v>259</v>
      </c>
      <c r="K7" s="1339"/>
      <c r="L7" s="1339"/>
      <c r="M7" s="1339"/>
      <c r="N7" s="1339"/>
      <c r="P7" s="1196"/>
    </row>
    <row r="8" spans="1:16" x14ac:dyDescent="0.2">
      <c r="J8" s="1335" t="s">
        <v>260</v>
      </c>
      <c r="K8" s="1336"/>
      <c r="L8" s="1336"/>
      <c r="M8" s="1336"/>
      <c r="N8" s="1336"/>
      <c r="O8" s="1336"/>
      <c r="P8" s="1337"/>
    </row>
    <row r="9" spans="1:16" x14ac:dyDescent="0.2">
      <c r="A9" t="s">
        <v>261</v>
      </c>
      <c r="B9" s="1123">
        <f>AVERAGE(B3:B7)</f>
        <v>286</v>
      </c>
      <c r="C9" s="1123"/>
      <c r="D9" s="1123">
        <f>AVERAGE(D3:D7)</f>
        <v>476</v>
      </c>
      <c r="E9" t="s">
        <v>261</v>
      </c>
      <c r="F9" s="1123">
        <f>AVERAGE(F3:F7)</f>
        <v>259</v>
      </c>
      <c r="H9" s="1123">
        <f>AVERAGE(H3:H7)</f>
        <v>434</v>
      </c>
      <c r="J9" s="1335"/>
      <c r="K9" s="1336"/>
      <c r="L9" s="1336"/>
      <c r="M9" s="1336"/>
      <c r="N9" s="1336"/>
      <c r="O9" s="1336"/>
      <c r="P9" s="1337"/>
    </row>
    <row r="10" spans="1:16" x14ac:dyDescent="0.2">
      <c r="B10" s="1123"/>
      <c r="J10" s="1340"/>
      <c r="K10" s="1341"/>
      <c r="L10" s="1341"/>
      <c r="M10" s="1341"/>
      <c r="N10" s="1341"/>
      <c r="O10" s="1341"/>
      <c r="P10" s="1342"/>
    </row>
    <row r="11" spans="1:16" s="1221" customFormat="1" x14ac:dyDescent="0.2"/>
    <row r="12" spans="1:16" x14ac:dyDescent="0.2">
      <c r="A12" t="s">
        <v>262</v>
      </c>
    </row>
    <row r="13" spans="1:16" hidden="1" x14ac:dyDescent="0.2"/>
    <row r="14" spans="1:16" x14ac:dyDescent="0.2">
      <c r="A14" s="847"/>
      <c r="B14" s="1333" t="s">
        <v>247</v>
      </c>
      <c r="C14" s="1334"/>
      <c r="D14" s="1343"/>
      <c r="E14" s="847"/>
      <c r="F14" s="1333" t="s">
        <v>248</v>
      </c>
      <c r="G14" s="1334"/>
      <c r="H14" s="1343"/>
    </row>
    <row r="15" spans="1:16" x14ac:dyDescent="0.2">
      <c r="A15" s="847" t="s">
        <v>249</v>
      </c>
      <c r="B15" s="1205" t="s">
        <v>250</v>
      </c>
      <c r="C15" s="1206" t="s">
        <v>251</v>
      </c>
      <c r="D15" s="1207" t="s">
        <v>211</v>
      </c>
      <c r="E15" s="847"/>
      <c r="F15" s="1205" t="s">
        <v>250</v>
      </c>
      <c r="G15" s="1206" t="s">
        <v>251</v>
      </c>
      <c r="H15" s="1207" t="s">
        <v>211</v>
      </c>
      <c r="J15" s="1333" t="s">
        <v>252</v>
      </c>
      <c r="K15" s="1334"/>
      <c r="L15" s="1334"/>
      <c r="M15" s="1334"/>
      <c r="N15" s="1334"/>
      <c r="O15" s="1211"/>
      <c r="P15" s="1212"/>
    </row>
    <row r="16" spans="1:16" x14ac:dyDescent="0.2">
      <c r="A16" s="1203" t="s">
        <v>253</v>
      </c>
      <c r="B16" s="1200">
        <v>240</v>
      </c>
      <c r="C16" s="1197">
        <f>'BP Petit Bivouac - P2'!C5</f>
        <v>160</v>
      </c>
      <c r="D16" s="1208">
        <f>B16+C16</f>
        <v>400</v>
      </c>
      <c r="E16" s="1203" t="s">
        <v>253</v>
      </c>
      <c r="F16" s="1200">
        <v>215</v>
      </c>
      <c r="G16" s="1197">
        <f>'BP Petit Bivouac - P2'!C6</f>
        <v>150</v>
      </c>
      <c r="H16" s="1208">
        <f>F16+G16</f>
        <v>365</v>
      </c>
      <c r="J16" s="1335" t="s">
        <v>263</v>
      </c>
      <c r="K16" s="1336"/>
      <c r="L16" s="1336"/>
      <c r="M16" s="1336"/>
      <c r="N16" s="1336"/>
      <c r="O16" s="1336"/>
      <c r="P16" s="1337"/>
    </row>
    <row r="17" spans="1:16" x14ac:dyDescent="0.2">
      <c r="A17" s="1204" t="s">
        <v>255</v>
      </c>
      <c r="B17" s="1201">
        <v>255</v>
      </c>
      <c r="C17" s="1198">
        <f>C16</f>
        <v>160</v>
      </c>
      <c r="D17" s="1209">
        <f t="shared" ref="D17:D20" si="2">B17+C17</f>
        <v>415</v>
      </c>
      <c r="E17" s="1204" t="s">
        <v>255</v>
      </c>
      <c r="F17" s="1201">
        <v>230</v>
      </c>
      <c r="G17" s="1198">
        <f t="shared" ref="G17:G20" si="3">G16</f>
        <v>150</v>
      </c>
      <c r="H17" s="1209">
        <f t="shared" ref="H17:H20" si="4">F17+G17</f>
        <v>380</v>
      </c>
      <c r="J17" s="1335"/>
      <c r="K17" s="1336"/>
      <c r="L17" s="1336"/>
      <c r="M17" s="1336"/>
      <c r="N17" s="1336"/>
      <c r="O17" s="1336"/>
      <c r="P17" s="1337"/>
    </row>
    <row r="18" spans="1:16" x14ac:dyDescent="0.2">
      <c r="A18" s="1204" t="s">
        <v>256</v>
      </c>
      <c r="B18" s="1201">
        <v>280</v>
      </c>
      <c r="C18" s="1198">
        <f t="shared" ref="C18:C20" si="5">C17</f>
        <v>160</v>
      </c>
      <c r="D18" s="1209">
        <f t="shared" si="2"/>
        <v>440</v>
      </c>
      <c r="E18" s="1204" t="s">
        <v>256</v>
      </c>
      <c r="F18" s="1201">
        <v>255</v>
      </c>
      <c r="G18" s="1198">
        <f t="shared" si="3"/>
        <v>150</v>
      </c>
      <c r="H18" s="1209">
        <f t="shared" si="4"/>
        <v>405</v>
      </c>
      <c r="J18" s="1335"/>
      <c r="K18" s="1336"/>
      <c r="L18" s="1336"/>
      <c r="M18" s="1336"/>
      <c r="N18" s="1336"/>
      <c r="O18" s="1336"/>
      <c r="P18" s="1337"/>
    </row>
    <row r="19" spans="1:16" x14ac:dyDescent="0.2">
      <c r="A19" s="1204" t="s">
        <v>257</v>
      </c>
      <c r="B19" s="1201">
        <v>310</v>
      </c>
      <c r="C19" s="1198">
        <f t="shared" si="5"/>
        <v>160</v>
      </c>
      <c r="D19" s="1209">
        <f t="shared" si="2"/>
        <v>470</v>
      </c>
      <c r="E19" s="1204" t="s">
        <v>257</v>
      </c>
      <c r="F19" s="1201">
        <v>280</v>
      </c>
      <c r="G19" s="1198">
        <f t="shared" si="3"/>
        <v>150</v>
      </c>
      <c r="H19" s="1209">
        <f t="shared" si="4"/>
        <v>430</v>
      </c>
      <c r="J19" s="1195"/>
      <c r="P19" s="1196"/>
    </row>
    <row r="20" spans="1:16" x14ac:dyDescent="0.2">
      <c r="A20" s="1124" t="s">
        <v>258</v>
      </c>
      <c r="B20" s="1202">
        <v>345</v>
      </c>
      <c r="C20" s="1198">
        <f t="shared" si="5"/>
        <v>160</v>
      </c>
      <c r="D20" s="1210">
        <f t="shared" si="2"/>
        <v>505</v>
      </c>
      <c r="E20" s="1124" t="s">
        <v>258</v>
      </c>
      <c r="F20" s="1202">
        <v>315</v>
      </c>
      <c r="G20" s="1198">
        <f t="shared" si="3"/>
        <v>150</v>
      </c>
      <c r="H20" s="1210">
        <f t="shared" si="4"/>
        <v>465</v>
      </c>
      <c r="J20" s="1338" t="s">
        <v>259</v>
      </c>
      <c r="K20" s="1339"/>
      <c r="L20" s="1339"/>
      <c r="M20" s="1339"/>
      <c r="N20" s="1339"/>
      <c r="P20" s="1196"/>
    </row>
    <row r="21" spans="1:16" x14ac:dyDescent="0.2">
      <c r="J21" s="1335" t="s">
        <v>264</v>
      </c>
      <c r="K21" s="1336"/>
      <c r="L21" s="1336"/>
      <c r="M21" s="1336"/>
      <c r="N21" s="1336"/>
      <c r="O21" s="1336"/>
      <c r="P21" s="1337"/>
    </row>
    <row r="22" spans="1:16" x14ac:dyDescent="0.2">
      <c r="A22" t="s">
        <v>261</v>
      </c>
      <c r="B22" s="1123">
        <f>AVERAGE(B16:B20)</f>
        <v>286</v>
      </c>
      <c r="D22" s="1123">
        <f>AVERAGE(D16:D20)</f>
        <v>446</v>
      </c>
      <c r="E22" t="s">
        <v>261</v>
      </c>
      <c r="F22" s="1123">
        <f>AVERAGE(F16:F20)</f>
        <v>259</v>
      </c>
      <c r="H22" s="1123">
        <f>AVERAGE(H16:H20)</f>
        <v>409</v>
      </c>
      <c r="J22" s="1335"/>
      <c r="K22" s="1336"/>
      <c r="L22" s="1336"/>
      <c r="M22" s="1336"/>
      <c r="N22" s="1336"/>
      <c r="O22" s="1336"/>
      <c r="P22" s="1337"/>
    </row>
    <row r="23" spans="1:16" x14ac:dyDescent="0.2">
      <c r="B23" s="1123"/>
      <c r="J23" s="1340"/>
      <c r="K23" s="1341"/>
      <c r="L23" s="1341"/>
      <c r="M23" s="1341"/>
      <c r="N23" s="1341"/>
      <c r="O23" s="1341"/>
      <c r="P23" s="1342"/>
    </row>
    <row r="25" spans="1:16" x14ac:dyDescent="0.2">
      <c r="C25" s="1228" t="s">
        <v>265</v>
      </c>
      <c r="D25" s="1229" t="s">
        <v>266</v>
      </c>
      <c r="E25" s="1229" t="s">
        <v>267</v>
      </c>
      <c r="F25" s="1230"/>
      <c r="G25" s="1230"/>
      <c r="H25" s="1229" t="s">
        <v>253</v>
      </c>
      <c r="I25" s="1229" t="s">
        <v>255</v>
      </c>
      <c r="J25" s="1229" t="s">
        <v>256</v>
      </c>
      <c r="K25" s="1229" t="s">
        <v>257</v>
      </c>
      <c r="L25" s="1231" t="s">
        <v>258</v>
      </c>
    </row>
    <row r="26" spans="1:16" x14ac:dyDescent="0.2">
      <c r="C26" s="1232" t="s">
        <v>268</v>
      </c>
      <c r="D26" s="1225">
        <v>40</v>
      </c>
      <c r="E26" s="1225">
        <v>10</v>
      </c>
      <c r="F26" s="1226"/>
      <c r="G26" s="1226"/>
      <c r="H26" s="1225">
        <v>15</v>
      </c>
      <c r="I26" s="1225">
        <v>11</v>
      </c>
      <c r="J26" s="1225">
        <v>15</v>
      </c>
      <c r="K26" s="1225">
        <v>4</v>
      </c>
      <c r="L26" s="1233">
        <v>17</v>
      </c>
    </row>
    <row r="27" spans="1:16" x14ac:dyDescent="0.2">
      <c r="C27" s="1232" t="s">
        <v>269</v>
      </c>
      <c r="D27" s="1225">
        <v>20</v>
      </c>
      <c r="E27" s="1225">
        <v>5</v>
      </c>
      <c r="F27" s="1226"/>
      <c r="G27" s="1226"/>
      <c r="H27" s="1225">
        <v>0</v>
      </c>
      <c r="I27" s="1225">
        <v>3</v>
      </c>
      <c r="J27" s="1225">
        <v>1</v>
      </c>
      <c r="K27" s="1225">
        <v>1</v>
      </c>
      <c r="L27" s="1233">
        <v>3</v>
      </c>
    </row>
    <row r="28" spans="1:16" x14ac:dyDescent="0.2">
      <c r="C28" s="1232" t="s">
        <v>270</v>
      </c>
      <c r="D28" s="1225">
        <v>20</v>
      </c>
      <c r="E28" s="1225">
        <v>7</v>
      </c>
      <c r="F28" s="1226" t="s">
        <v>271</v>
      </c>
      <c r="G28" s="1226"/>
      <c r="H28" s="1225">
        <v>12</v>
      </c>
      <c r="I28" s="1225">
        <v>0</v>
      </c>
      <c r="J28" s="1225">
        <v>5</v>
      </c>
      <c r="K28" s="1225">
        <v>0</v>
      </c>
      <c r="L28" s="1233">
        <v>2</v>
      </c>
    </row>
    <row r="29" spans="1:16" x14ac:dyDescent="0.2">
      <c r="C29" s="1232" t="s">
        <v>272</v>
      </c>
      <c r="D29" s="1225">
        <v>15</v>
      </c>
      <c r="E29" s="1225">
        <v>3</v>
      </c>
      <c r="F29" s="1226" t="s">
        <v>273</v>
      </c>
      <c r="G29" s="1226"/>
      <c r="H29" s="1227">
        <v>0</v>
      </c>
      <c r="I29" s="1227">
        <v>0</v>
      </c>
      <c r="J29" s="1227">
        <v>0</v>
      </c>
      <c r="K29" s="1227">
        <v>0</v>
      </c>
      <c r="L29" s="1234">
        <v>0</v>
      </c>
    </row>
    <row r="30" spans="1:16" x14ac:dyDescent="0.2">
      <c r="C30" s="1232" t="s">
        <v>274</v>
      </c>
      <c r="D30" s="1225">
        <v>40</v>
      </c>
      <c r="E30" s="1225">
        <v>10</v>
      </c>
      <c r="F30" s="1226"/>
      <c r="G30" s="1226"/>
      <c r="H30" s="1225">
        <v>8</v>
      </c>
      <c r="I30" s="1225">
        <v>21</v>
      </c>
      <c r="J30" s="1225">
        <v>10</v>
      </c>
      <c r="K30" s="1225">
        <v>0</v>
      </c>
      <c r="L30" s="1233">
        <v>11</v>
      </c>
    </row>
    <row r="31" spans="1:16" x14ac:dyDescent="0.2">
      <c r="C31" s="1232" t="s">
        <v>275</v>
      </c>
      <c r="D31" s="1225">
        <v>25</v>
      </c>
      <c r="E31" s="1225">
        <v>5</v>
      </c>
      <c r="F31" s="1226" t="s">
        <v>276</v>
      </c>
      <c r="G31" s="1226"/>
      <c r="H31" s="1225">
        <v>8</v>
      </c>
      <c r="I31" s="1225">
        <v>14</v>
      </c>
      <c r="J31" s="1225">
        <v>11</v>
      </c>
      <c r="K31" s="1225">
        <v>1</v>
      </c>
      <c r="L31" s="1233">
        <v>9</v>
      </c>
    </row>
    <row r="32" spans="1:16" x14ac:dyDescent="0.2">
      <c r="C32" s="1232" t="s">
        <v>277</v>
      </c>
      <c r="D32" s="1225">
        <v>25</v>
      </c>
      <c r="E32" s="1225">
        <v>5</v>
      </c>
      <c r="F32" s="1226" t="s">
        <v>278</v>
      </c>
      <c r="G32" s="1226"/>
      <c r="H32" s="1225">
        <v>3</v>
      </c>
      <c r="I32" s="1225">
        <v>14</v>
      </c>
      <c r="J32" s="1225">
        <v>7</v>
      </c>
      <c r="K32" s="1225">
        <v>0</v>
      </c>
      <c r="L32" s="1233">
        <v>2</v>
      </c>
    </row>
    <row r="33" spans="3:12" x14ac:dyDescent="0.2">
      <c r="C33" s="1232" t="s">
        <v>279</v>
      </c>
      <c r="D33" s="1225">
        <v>3</v>
      </c>
      <c r="E33" s="1225">
        <v>2</v>
      </c>
      <c r="F33" s="1226"/>
      <c r="G33" s="1226"/>
      <c r="H33" s="1225">
        <v>0</v>
      </c>
      <c r="I33" s="1225">
        <v>0</v>
      </c>
      <c r="J33" s="1225">
        <v>5</v>
      </c>
      <c r="K33" s="1225">
        <v>0</v>
      </c>
      <c r="L33" s="1233">
        <v>0</v>
      </c>
    </row>
    <row r="34" spans="3:12" x14ac:dyDescent="0.2">
      <c r="C34" s="1232" t="s">
        <v>280</v>
      </c>
      <c r="D34" s="1225"/>
      <c r="E34" s="1225"/>
      <c r="F34" s="1226" t="s">
        <v>281</v>
      </c>
      <c r="G34" s="1226"/>
      <c r="H34" s="1227">
        <v>0</v>
      </c>
      <c r="I34" s="1227">
        <v>0</v>
      </c>
      <c r="J34" s="1227">
        <v>0</v>
      </c>
      <c r="K34" s="1227">
        <v>0</v>
      </c>
      <c r="L34" s="1234">
        <v>0</v>
      </c>
    </row>
    <row r="35" spans="3:12" x14ac:dyDescent="0.2">
      <c r="C35" s="1235" t="s">
        <v>3</v>
      </c>
      <c r="D35" s="1236">
        <f>SUM(D26:D33)</f>
        <v>188</v>
      </c>
      <c r="E35" s="1236">
        <f>SUM(E26:E33)</f>
        <v>47</v>
      </c>
      <c r="F35" s="1237">
        <f>D35+E35</f>
        <v>235</v>
      </c>
      <c r="G35" s="1238"/>
      <c r="H35" s="1236">
        <f>SUM(H26:H34)</f>
        <v>46</v>
      </c>
      <c r="I35" s="1236">
        <f t="shared" ref="I35:J35" si="6">SUM(I26:I34)</f>
        <v>63</v>
      </c>
      <c r="J35" s="1236">
        <f t="shared" si="6"/>
        <v>54</v>
      </c>
      <c r="K35" s="1236">
        <f>SUM(K26:K34)</f>
        <v>6</v>
      </c>
      <c r="L35" s="1239">
        <f>SUM(L26:L34)</f>
        <v>44</v>
      </c>
    </row>
    <row r="36" spans="3:12" x14ac:dyDescent="0.2">
      <c r="F36" t="s">
        <v>282</v>
      </c>
    </row>
    <row r="39" spans="3:12" x14ac:dyDescent="0.2">
      <c r="F39" s="847"/>
      <c r="G39" s="847"/>
      <c r="H39" s="847"/>
      <c r="I39" s="847"/>
      <c r="J39" s="847"/>
      <c r="K39" s="847"/>
      <c r="L39" s="847"/>
    </row>
  </sheetData>
  <mergeCells count="12">
    <mergeCell ref="B1:D1"/>
    <mergeCell ref="F1:H1"/>
    <mergeCell ref="J3:P5"/>
    <mergeCell ref="J8:P10"/>
    <mergeCell ref="J7:N7"/>
    <mergeCell ref="J2:N2"/>
    <mergeCell ref="J15:N15"/>
    <mergeCell ref="J16:P18"/>
    <mergeCell ref="J20:N20"/>
    <mergeCell ref="J21:P23"/>
    <mergeCell ref="B14:D14"/>
    <mergeCell ref="F14:H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4C20-BD09-4DC0-B6A6-1D388ECCA467}">
  <dimension ref="B1:O77"/>
  <sheetViews>
    <sheetView topLeftCell="A62" workbookViewId="0">
      <selection activeCell="M65" sqref="M65:O77"/>
    </sheetView>
  </sheetViews>
  <sheetFormatPr defaultRowHeight="12" x14ac:dyDescent="0.2"/>
  <cols>
    <col min="2" max="2" width="9.7109375" bestFit="1" customWidth="1"/>
    <col min="4" max="4" width="10.7109375" bestFit="1" customWidth="1"/>
    <col min="5" max="5" width="9.7109375" bestFit="1" customWidth="1"/>
  </cols>
  <sheetData>
    <row r="1" spans="3:10" x14ac:dyDescent="0.2">
      <c r="E1" t="s">
        <v>253</v>
      </c>
      <c r="F1" t="s">
        <v>255</v>
      </c>
      <c r="G1" t="s">
        <v>256</v>
      </c>
      <c r="H1" t="s">
        <v>257</v>
      </c>
      <c r="I1" t="s">
        <v>258</v>
      </c>
    </row>
    <row r="2" spans="3:10" x14ac:dyDescent="0.2">
      <c r="C2" t="s">
        <v>283</v>
      </c>
      <c r="D2">
        <v>2024</v>
      </c>
      <c r="E2">
        <v>131</v>
      </c>
      <c r="F2">
        <v>75</v>
      </c>
      <c r="G2">
        <v>74</v>
      </c>
      <c r="H2">
        <v>12</v>
      </c>
      <c r="I2">
        <v>93</v>
      </c>
      <c r="J2">
        <f>SUM(E2:I2)</f>
        <v>385</v>
      </c>
    </row>
    <row r="3" spans="3:10" x14ac:dyDescent="0.2">
      <c r="D3">
        <v>2025</v>
      </c>
      <c r="E3">
        <v>60</v>
      </c>
      <c r="F3">
        <v>78</v>
      </c>
      <c r="G3">
        <v>63</v>
      </c>
      <c r="H3">
        <v>7</v>
      </c>
      <c r="I3">
        <v>55</v>
      </c>
      <c r="J3">
        <f>SUM(E3:I3)</f>
        <v>263</v>
      </c>
    </row>
    <row r="4" spans="3:10" x14ac:dyDescent="0.2">
      <c r="E4" s="1222">
        <f>E3/E2</f>
        <v>0.4580152671755725</v>
      </c>
      <c r="F4" s="1222">
        <f t="shared" ref="F4:I4" si="0">F3/F2</f>
        <v>1.04</v>
      </c>
      <c r="G4" s="1222">
        <f t="shared" si="0"/>
        <v>0.85135135135135132</v>
      </c>
      <c r="H4" s="1222">
        <f t="shared" si="0"/>
        <v>0.58333333333333337</v>
      </c>
      <c r="I4" s="1222">
        <f t="shared" si="0"/>
        <v>0.59139784946236562</v>
      </c>
      <c r="J4" s="1222">
        <f>J3/J2</f>
        <v>0.68311688311688312</v>
      </c>
    </row>
    <row r="6" spans="3:10" x14ac:dyDescent="0.2">
      <c r="C6" t="s">
        <v>284</v>
      </c>
      <c r="D6">
        <v>2024</v>
      </c>
      <c r="E6">
        <v>13</v>
      </c>
      <c r="F6">
        <v>7</v>
      </c>
      <c r="G6">
        <v>13</v>
      </c>
      <c r="H6">
        <v>0</v>
      </c>
      <c r="I6">
        <v>10</v>
      </c>
      <c r="J6">
        <f>SUM(E6:I6)</f>
        <v>43</v>
      </c>
    </row>
    <row r="7" spans="3:10" x14ac:dyDescent="0.2">
      <c r="D7">
        <v>2025</v>
      </c>
      <c r="E7">
        <v>15</v>
      </c>
      <c r="F7">
        <v>11</v>
      </c>
      <c r="G7">
        <v>15</v>
      </c>
      <c r="H7">
        <v>4</v>
      </c>
      <c r="I7">
        <v>17</v>
      </c>
      <c r="J7">
        <f>SUM(E7:I7)</f>
        <v>62</v>
      </c>
    </row>
    <row r="8" spans="3:10" x14ac:dyDescent="0.2">
      <c r="E8" s="1222">
        <f>E7/E6</f>
        <v>1.1538461538461537</v>
      </c>
      <c r="F8" s="1222">
        <f t="shared" ref="F8" si="1">F7/F6</f>
        <v>1.5714285714285714</v>
      </c>
      <c r="G8" s="1222">
        <f t="shared" ref="G8" si="2">G7/G6</f>
        <v>1.1538461538461537</v>
      </c>
      <c r="H8" s="1222" t="e">
        <f t="shared" ref="H8" si="3">H7/H6</f>
        <v>#DIV/0!</v>
      </c>
      <c r="I8" s="1222">
        <f t="shared" ref="I8" si="4">I7/I6</f>
        <v>1.7</v>
      </c>
      <c r="J8" s="1222">
        <f>J7/J6</f>
        <v>1.441860465116279</v>
      </c>
    </row>
    <row r="10" spans="3:10" x14ac:dyDescent="0.2">
      <c r="C10" t="s">
        <v>269</v>
      </c>
      <c r="D10">
        <v>2024</v>
      </c>
      <c r="E10">
        <v>4</v>
      </c>
      <c r="F10">
        <v>4</v>
      </c>
      <c r="G10">
        <v>4</v>
      </c>
      <c r="H10">
        <v>3</v>
      </c>
      <c r="I10">
        <v>8</v>
      </c>
      <c r="J10">
        <f>SUM(E10:I10)</f>
        <v>23</v>
      </c>
    </row>
    <row r="11" spans="3:10" x14ac:dyDescent="0.2">
      <c r="D11">
        <v>2025</v>
      </c>
      <c r="E11">
        <v>1</v>
      </c>
      <c r="F11">
        <v>3</v>
      </c>
      <c r="G11">
        <v>1</v>
      </c>
      <c r="H11">
        <v>1</v>
      </c>
      <c r="I11">
        <v>3</v>
      </c>
      <c r="J11">
        <f>SUM(E11:I11)</f>
        <v>9</v>
      </c>
    </row>
    <row r="12" spans="3:10" x14ac:dyDescent="0.2">
      <c r="E12" s="1222">
        <f>E11/E10</f>
        <v>0.25</v>
      </c>
      <c r="F12" s="1222">
        <f t="shared" ref="F12" si="5">F11/F10</f>
        <v>0.75</v>
      </c>
      <c r="G12" s="1222">
        <f t="shared" ref="G12" si="6">G11/G10</f>
        <v>0.25</v>
      </c>
      <c r="H12" s="1222">
        <f t="shared" ref="H12" si="7">H11/H10</f>
        <v>0.33333333333333331</v>
      </c>
      <c r="I12" s="1222">
        <f t="shared" ref="I12" si="8">I11/I10</f>
        <v>0.375</v>
      </c>
      <c r="J12" s="1222">
        <f>J11/J10</f>
        <v>0.39130434782608697</v>
      </c>
    </row>
    <row r="14" spans="3:10" x14ac:dyDescent="0.2">
      <c r="C14" t="s">
        <v>270</v>
      </c>
      <c r="D14">
        <v>2024</v>
      </c>
      <c r="E14">
        <v>31</v>
      </c>
      <c r="G14">
        <v>6</v>
      </c>
      <c r="I14">
        <v>3</v>
      </c>
      <c r="J14">
        <f>SUM(E14:I14)</f>
        <v>40</v>
      </c>
    </row>
    <row r="15" spans="3:10" x14ac:dyDescent="0.2">
      <c r="D15">
        <v>2025</v>
      </c>
      <c r="E15">
        <v>12</v>
      </c>
      <c r="G15">
        <v>5</v>
      </c>
      <c r="I15">
        <v>2</v>
      </c>
      <c r="J15">
        <f>SUM(E15:I15)</f>
        <v>19</v>
      </c>
    </row>
    <row r="16" spans="3:10" x14ac:dyDescent="0.2">
      <c r="E16" s="1222">
        <f>E15/E14</f>
        <v>0.38709677419354838</v>
      </c>
      <c r="F16" s="1222" t="e">
        <f t="shared" ref="F16" si="9">F15/F14</f>
        <v>#DIV/0!</v>
      </c>
      <c r="G16" s="1222">
        <f t="shared" ref="G16" si="10">G15/G14</f>
        <v>0.83333333333333337</v>
      </c>
      <c r="H16" s="1222" t="e">
        <f t="shared" ref="H16" si="11">H15/H14</f>
        <v>#DIV/0!</v>
      </c>
      <c r="I16" s="1222">
        <f t="shared" ref="I16" si="12">I15/I14</f>
        <v>0.66666666666666663</v>
      </c>
      <c r="J16" s="1222">
        <f>J15/J14</f>
        <v>0.47499999999999998</v>
      </c>
    </row>
    <row r="18" spans="3:10" x14ac:dyDescent="0.2">
      <c r="C18" t="s">
        <v>272</v>
      </c>
      <c r="D18">
        <v>2024</v>
      </c>
      <c r="E18">
        <v>4</v>
      </c>
      <c r="F18">
        <v>1</v>
      </c>
      <c r="G18">
        <v>2</v>
      </c>
      <c r="H18">
        <v>3</v>
      </c>
      <c r="I18">
        <v>5</v>
      </c>
      <c r="J18">
        <f>SUM(E18:I18)</f>
        <v>15</v>
      </c>
    </row>
    <row r="19" spans="3:10" x14ac:dyDescent="0.2">
      <c r="C19" t="s">
        <v>285</v>
      </c>
      <c r="D19">
        <v>2025</v>
      </c>
      <c r="E19">
        <v>0</v>
      </c>
      <c r="F19">
        <v>0</v>
      </c>
      <c r="G19">
        <v>0</v>
      </c>
      <c r="H19">
        <v>0</v>
      </c>
      <c r="I19">
        <v>0</v>
      </c>
      <c r="J19">
        <f>SUM(E19:I19)</f>
        <v>0</v>
      </c>
    </row>
    <row r="20" spans="3:10" x14ac:dyDescent="0.2">
      <c r="E20" s="1222">
        <f>E19/E18</f>
        <v>0</v>
      </c>
      <c r="F20" s="1222">
        <f t="shared" ref="F20" si="13">F19/F18</f>
        <v>0</v>
      </c>
      <c r="G20" s="1222">
        <f t="shared" ref="G20" si="14">G19/G18</f>
        <v>0</v>
      </c>
      <c r="H20" s="1222">
        <f t="shared" ref="H20" si="15">H19/H18</f>
        <v>0</v>
      </c>
      <c r="I20" s="1222">
        <f t="shared" ref="I20" si="16">I19/I18</f>
        <v>0</v>
      </c>
      <c r="J20" s="1222">
        <f>J19/J18</f>
        <v>0</v>
      </c>
    </row>
    <row r="22" spans="3:10" x14ac:dyDescent="0.2">
      <c r="C22" t="s">
        <v>274</v>
      </c>
      <c r="D22">
        <v>2024</v>
      </c>
      <c r="E22">
        <v>17</v>
      </c>
      <c r="F22">
        <v>14</v>
      </c>
      <c r="G22">
        <v>9</v>
      </c>
      <c r="H22">
        <v>0</v>
      </c>
      <c r="I22">
        <v>13</v>
      </c>
      <c r="J22">
        <f>SUM(E22:I22)</f>
        <v>53</v>
      </c>
    </row>
    <row r="23" spans="3:10" x14ac:dyDescent="0.2">
      <c r="D23">
        <v>2025</v>
      </c>
      <c r="E23">
        <v>8</v>
      </c>
      <c r="F23">
        <v>21</v>
      </c>
      <c r="G23">
        <v>10</v>
      </c>
      <c r="H23">
        <v>0</v>
      </c>
      <c r="I23">
        <v>11</v>
      </c>
      <c r="J23">
        <f>SUM(E23:I23)</f>
        <v>50</v>
      </c>
    </row>
    <row r="24" spans="3:10" x14ac:dyDescent="0.2">
      <c r="E24" s="1222">
        <f>E23/E22</f>
        <v>0.47058823529411764</v>
      </c>
      <c r="F24" s="1222">
        <f t="shared" ref="F24" si="17">F23/F22</f>
        <v>1.5</v>
      </c>
      <c r="G24" s="1222">
        <f t="shared" ref="G24" si="18">G23/G22</f>
        <v>1.1111111111111112</v>
      </c>
      <c r="H24" s="1222" t="e">
        <f t="shared" ref="H24" si="19">H23/H22</f>
        <v>#DIV/0!</v>
      </c>
      <c r="I24" s="1222">
        <f t="shared" ref="I24" si="20">I23/I22</f>
        <v>0.84615384615384615</v>
      </c>
      <c r="J24" s="1222">
        <f>J23/J22</f>
        <v>0.94339622641509435</v>
      </c>
    </row>
    <row r="26" spans="3:10" x14ac:dyDescent="0.2">
      <c r="C26" t="s">
        <v>275</v>
      </c>
      <c r="D26">
        <v>2024</v>
      </c>
      <c r="E26">
        <v>7</v>
      </c>
      <c r="F26">
        <v>5</v>
      </c>
      <c r="G26">
        <v>10</v>
      </c>
      <c r="H26">
        <v>0</v>
      </c>
      <c r="I26">
        <v>8</v>
      </c>
      <c r="J26">
        <f>SUM(E26:I26)</f>
        <v>30</v>
      </c>
    </row>
    <row r="27" spans="3:10" x14ac:dyDescent="0.2">
      <c r="C27" t="s">
        <v>286</v>
      </c>
      <c r="D27">
        <v>2025</v>
      </c>
      <c r="E27">
        <v>5</v>
      </c>
      <c r="F27">
        <v>6</v>
      </c>
      <c r="G27">
        <v>4</v>
      </c>
      <c r="H27">
        <v>1</v>
      </c>
      <c r="I27">
        <v>2</v>
      </c>
      <c r="J27">
        <f>SUM(E27:I27)</f>
        <v>18</v>
      </c>
    </row>
    <row r="28" spans="3:10" x14ac:dyDescent="0.2">
      <c r="E28" s="1222">
        <f>E27/E26</f>
        <v>0.7142857142857143</v>
      </c>
      <c r="F28" s="1222">
        <f t="shared" ref="F28" si="21">F27/F26</f>
        <v>1.2</v>
      </c>
      <c r="G28" s="1222">
        <f t="shared" ref="G28" si="22">G27/G26</f>
        <v>0.4</v>
      </c>
      <c r="H28" s="1222" t="e">
        <f t="shared" ref="H28" si="23">H27/H26</f>
        <v>#DIV/0!</v>
      </c>
      <c r="I28" s="1222">
        <f t="shared" ref="I28" si="24">I27/I26</f>
        <v>0.25</v>
      </c>
      <c r="J28" s="1222">
        <f>J27/J26</f>
        <v>0.6</v>
      </c>
    </row>
    <row r="30" spans="3:10" x14ac:dyDescent="0.2">
      <c r="C30" t="s">
        <v>277</v>
      </c>
      <c r="D30">
        <v>2024</v>
      </c>
      <c r="E30">
        <v>3</v>
      </c>
      <c r="F30">
        <v>11</v>
      </c>
      <c r="G30">
        <v>5</v>
      </c>
      <c r="H30">
        <v>2</v>
      </c>
      <c r="I30">
        <v>5</v>
      </c>
      <c r="J30">
        <f>SUM(E30:I30)</f>
        <v>26</v>
      </c>
    </row>
    <row r="31" spans="3:10" x14ac:dyDescent="0.2">
      <c r="C31" t="s">
        <v>285</v>
      </c>
      <c r="D31">
        <v>2025</v>
      </c>
      <c r="E31">
        <v>1</v>
      </c>
      <c r="F31">
        <v>11</v>
      </c>
      <c r="G31">
        <v>5</v>
      </c>
      <c r="H31">
        <v>0</v>
      </c>
      <c r="I31">
        <v>0</v>
      </c>
      <c r="J31">
        <f>SUM(E31:I31)</f>
        <v>17</v>
      </c>
    </row>
    <row r="32" spans="3:10" x14ac:dyDescent="0.2">
      <c r="E32" s="1222">
        <f>E31/E30</f>
        <v>0.33333333333333331</v>
      </c>
      <c r="F32" s="1222">
        <f t="shared" ref="F32" si="25">F31/F30</f>
        <v>1</v>
      </c>
      <c r="G32" s="1222">
        <f t="shared" ref="G32" si="26">G31/G30</f>
        <v>1</v>
      </c>
      <c r="H32" s="1222">
        <f t="shared" ref="H32" si="27">H31/H30</f>
        <v>0</v>
      </c>
      <c r="I32" s="1222">
        <f t="shared" ref="I32" si="28">I31/I30</f>
        <v>0</v>
      </c>
      <c r="J32" s="1222">
        <f>J31/J30</f>
        <v>0.65384615384615385</v>
      </c>
    </row>
    <row r="34" spans="3:11" x14ac:dyDescent="0.2">
      <c r="C34" t="s">
        <v>280</v>
      </c>
      <c r="D34">
        <v>2024</v>
      </c>
      <c r="E34">
        <v>5</v>
      </c>
      <c r="F34">
        <v>4</v>
      </c>
      <c r="G34">
        <v>3</v>
      </c>
      <c r="H34">
        <v>1</v>
      </c>
      <c r="I34">
        <v>5</v>
      </c>
      <c r="J34">
        <f>SUM(E34:I34)</f>
        <v>18</v>
      </c>
    </row>
    <row r="35" spans="3:11" x14ac:dyDescent="0.2">
      <c r="C35" t="s">
        <v>285</v>
      </c>
      <c r="D35">
        <v>2025</v>
      </c>
      <c r="J35">
        <f>SUM(E35:I35)</f>
        <v>0</v>
      </c>
    </row>
    <row r="36" spans="3:11" x14ac:dyDescent="0.2">
      <c r="E36" s="1222">
        <f>E35/E34</f>
        <v>0</v>
      </c>
      <c r="F36" s="1222">
        <f t="shared" ref="F36" si="29">F35/F34</f>
        <v>0</v>
      </c>
      <c r="G36" s="1222">
        <f t="shared" ref="G36" si="30">G35/G34</f>
        <v>0</v>
      </c>
      <c r="H36" s="1222">
        <f t="shared" ref="H36" si="31">H35/H34</f>
        <v>0</v>
      </c>
      <c r="I36" s="1222">
        <f t="shared" ref="I36" si="32">I35/I34</f>
        <v>0</v>
      </c>
      <c r="J36" s="1222">
        <f>J35/J34</f>
        <v>0</v>
      </c>
    </row>
    <row r="38" spans="3:11" x14ac:dyDescent="0.2">
      <c r="J38" t="s">
        <v>287</v>
      </c>
    </row>
    <row r="39" spans="3:11" x14ac:dyDescent="0.2">
      <c r="H39" t="s">
        <v>3</v>
      </c>
      <c r="I39">
        <v>2024</v>
      </c>
      <c r="J39">
        <f>J6+J10+J14+J18+J22+J26+J30+J34</f>
        <v>248</v>
      </c>
    </row>
    <row r="40" spans="3:11" x14ac:dyDescent="0.2">
      <c r="I40">
        <v>2025</v>
      </c>
      <c r="J40">
        <f>J7+J11+J15+J19+J23+J27+J31+J35</f>
        <v>175</v>
      </c>
    </row>
    <row r="45" spans="3:11" x14ac:dyDescent="0.2">
      <c r="C45" t="s">
        <v>3</v>
      </c>
      <c r="E45" t="s">
        <v>253</v>
      </c>
      <c r="F45" t="s">
        <v>255</v>
      </c>
      <c r="G45" t="s">
        <v>256</v>
      </c>
      <c r="H45" t="s">
        <v>257</v>
      </c>
      <c r="I45" t="s">
        <v>258</v>
      </c>
    </row>
    <row r="46" spans="3:11" x14ac:dyDescent="0.2">
      <c r="D46">
        <v>2024</v>
      </c>
      <c r="E46">
        <f>E34+E30+E26+E22+E18+E14+E10+E6</f>
        <v>84</v>
      </c>
      <c r="F46">
        <f t="shared" ref="F46:I46" si="33">F34+F30+F26+F22+F18+F14+F10+F6</f>
        <v>46</v>
      </c>
      <c r="G46">
        <f t="shared" si="33"/>
        <v>52</v>
      </c>
      <c r="H46">
        <f t="shared" si="33"/>
        <v>9</v>
      </c>
      <c r="I46">
        <f t="shared" si="33"/>
        <v>57</v>
      </c>
      <c r="J46">
        <f t="shared" ref="J46:J47" si="34">SUM(E46:I46)</f>
        <v>248</v>
      </c>
      <c r="K46">
        <f>J46-J39</f>
        <v>0</v>
      </c>
    </row>
    <row r="47" spans="3:11" x14ac:dyDescent="0.2">
      <c r="D47">
        <v>2025</v>
      </c>
      <c r="E47">
        <f t="shared" ref="E47:I47" si="35">E35+E31+E27+E23+E19+E15+E11+E7</f>
        <v>42</v>
      </c>
      <c r="F47">
        <f t="shared" si="35"/>
        <v>52</v>
      </c>
      <c r="G47">
        <f t="shared" si="35"/>
        <v>40</v>
      </c>
      <c r="H47">
        <f t="shared" si="35"/>
        <v>6</v>
      </c>
      <c r="I47">
        <f t="shared" si="35"/>
        <v>35</v>
      </c>
      <c r="J47">
        <f t="shared" si="34"/>
        <v>175</v>
      </c>
      <c r="K47">
        <f>J47-J40</f>
        <v>0</v>
      </c>
    </row>
    <row r="51" spans="2:9" x14ac:dyDescent="0.2">
      <c r="B51" t="s">
        <v>288</v>
      </c>
    </row>
    <row r="52" spans="2:9" x14ac:dyDescent="0.2">
      <c r="B52" s="1223">
        <f>'BP Petit Bivouac - P2'!F49</f>
        <v>31300</v>
      </c>
      <c r="C52" t="s">
        <v>289</v>
      </c>
      <c r="D52" t="s">
        <v>290</v>
      </c>
      <c r="E52">
        <f>D64</f>
        <v>200</v>
      </c>
      <c r="F52" t="s">
        <v>291</v>
      </c>
      <c r="G52" t="s">
        <v>292</v>
      </c>
      <c r="H52" s="1223">
        <f>B52/E52</f>
        <v>156.5</v>
      </c>
      <c r="I52" t="s">
        <v>293</v>
      </c>
    </row>
    <row r="54" spans="2:9" x14ac:dyDescent="0.2">
      <c r="D54" t="s">
        <v>291</v>
      </c>
      <c r="E54" t="s">
        <v>294</v>
      </c>
    </row>
    <row r="55" spans="2:9" x14ac:dyDescent="0.2">
      <c r="C55" t="s">
        <v>268</v>
      </c>
      <c r="D55">
        <v>40</v>
      </c>
      <c r="E55">
        <v>10</v>
      </c>
    </row>
    <row r="56" spans="2:9" x14ac:dyDescent="0.2">
      <c r="C56" t="s">
        <v>269</v>
      </c>
      <c r="D56">
        <v>20</v>
      </c>
      <c r="E56">
        <v>5</v>
      </c>
    </row>
    <row r="57" spans="2:9" x14ac:dyDescent="0.2">
      <c r="C57" t="s">
        <v>270</v>
      </c>
      <c r="D57">
        <v>35</v>
      </c>
      <c r="E57">
        <v>7</v>
      </c>
      <c r="F57" t="s">
        <v>271</v>
      </c>
    </row>
    <row r="58" spans="2:9" x14ac:dyDescent="0.2">
      <c r="C58" t="s">
        <v>272</v>
      </c>
      <c r="D58">
        <v>15</v>
      </c>
      <c r="E58">
        <v>3</v>
      </c>
      <c r="F58" t="s">
        <v>273</v>
      </c>
    </row>
    <row r="59" spans="2:9" x14ac:dyDescent="0.2">
      <c r="C59" t="s">
        <v>274</v>
      </c>
      <c r="D59">
        <v>40</v>
      </c>
      <c r="E59">
        <v>10</v>
      </c>
    </row>
    <row r="60" spans="2:9" x14ac:dyDescent="0.2">
      <c r="C60" t="s">
        <v>275</v>
      </c>
      <c r="D60">
        <v>25</v>
      </c>
      <c r="E60">
        <v>5</v>
      </c>
      <c r="F60" t="s">
        <v>276</v>
      </c>
    </row>
    <row r="61" spans="2:9" x14ac:dyDescent="0.2">
      <c r="C61" t="s">
        <v>277</v>
      </c>
      <c r="D61">
        <v>25</v>
      </c>
      <c r="E61">
        <v>5</v>
      </c>
      <c r="F61" s="1117" t="s">
        <v>278</v>
      </c>
    </row>
    <row r="62" spans="2:9" x14ac:dyDescent="0.2">
      <c r="C62" t="s">
        <v>279</v>
      </c>
    </row>
    <row r="63" spans="2:9" x14ac:dyDescent="0.2">
      <c r="C63" t="s">
        <v>280</v>
      </c>
      <c r="F63" s="1117" t="s">
        <v>281</v>
      </c>
    </row>
    <row r="64" spans="2:9" x14ac:dyDescent="0.2">
      <c r="C64" s="847" t="s">
        <v>3</v>
      </c>
      <c r="D64" s="847">
        <f>SUM(D55:D62)</f>
        <v>200</v>
      </c>
      <c r="E64" s="847">
        <f>SUM(E55:E62)</f>
        <v>45</v>
      </c>
      <c r="F64" s="847">
        <f>D64+E64</f>
        <v>245</v>
      </c>
    </row>
    <row r="65" spans="2:15" x14ac:dyDescent="0.2">
      <c r="F65" t="s">
        <v>282</v>
      </c>
      <c r="M65" t="s">
        <v>295</v>
      </c>
    </row>
    <row r="66" spans="2:15" x14ac:dyDescent="0.2">
      <c r="N66" t="s">
        <v>210</v>
      </c>
      <c r="O66" t="s">
        <v>296</v>
      </c>
    </row>
    <row r="67" spans="2:15" x14ac:dyDescent="0.2">
      <c r="B67" t="s">
        <v>295</v>
      </c>
      <c r="M67" t="s">
        <v>253</v>
      </c>
      <c r="N67" s="1223">
        <f>I69</f>
        <v>145.54499999999999</v>
      </c>
      <c r="O67" s="1222">
        <f>H69</f>
        <v>-7.0000000000000007E-2</v>
      </c>
    </row>
    <row r="68" spans="2:15" x14ac:dyDescent="0.2">
      <c r="C68" t="s">
        <v>297</v>
      </c>
      <c r="D68" t="s">
        <v>298</v>
      </c>
      <c r="G68" t="s">
        <v>299</v>
      </c>
      <c r="H68" t="s">
        <v>300</v>
      </c>
      <c r="I68" t="s">
        <v>301</v>
      </c>
      <c r="J68" t="s">
        <v>302</v>
      </c>
      <c r="M68" t="s">
        <v>255</v>
      </c>
      <c r="N68" s="1223">
        <f t="shared" ref="N68:N71" si="36">I70</f>
        <v>151.02250000000001</v>
      </c>
      <c r="O68" s="1222">
        <f t="shared" ref="O68:O71" si="37">H70</f>
        <v>-3.5000000000000003E-2</v>
      </c>
    </row>
    <row r="69" spans="2:15" x14ac:dyDescent="0.2">
      <c r="B69" t="s">
        <v>253</v>
      </c>
      <c r="C69">
        <f>E46</f>
        <v>84</v>
      </c>
      <c r="D69" s="1222">
        <f>C69/$C$74</f>
        <v>0.33870967741935482</v>
      </c>
      <c r="E69" s="1223"/>
      <c r="F69" t="s">
        <v>253</v>
      </c>
      <c r="G69" s="1223">
        <f>ROUND($D$64*D69,0)</f>
        <v>68</v>
      </c>
      <c r="H69" s="1222">
        <v>-7.0000000000000007E-2</v>
      </c>
      <c r="I69" s="1223">
        <f>$H$52*(1+H69)</f>
        <v>145.54499999999999</v>
      </c>
      <c r="J69">
        <f>I69*G69</f>
        <v>9897.06</v>
      </c>
      <c r="M69" t="s">
        <v>256</v>
      </c>
      <c r="N69" s="1223">
        <f t="shared" si="36"/>
        <v>156.5</v>
      </c>
      <c r="O69" s="1222">
        <f t="shared" si="37"/>
        <v>0</v>
      </c>
    </row>
    <row r="70" spans="2:15" x14ac:dyDescent="0.2">
      <c r="B70" t="s">
        <v>255</v>
      </c>
      <c r="C70">
        <f>F46</f>
        <v>46</v>
      </c>
      <c r="D70" s="1222">
        <f t="shared" ref="D70:D73" si="38">C70/$C$74</f>
        <v>0.18548387096774194</v>
      </c>
      <c r="E70" s="1223"/>
      <c r="F70" t="s">
        <v>255</v>
      </c>
      <c r="G70" s="1223">
        <f t="shared" ref="G70:G73" si="39">ROUND($D$64*D70,0)</f>
        <v>37</v>
      </c>
      <c r="H70" s="1222">
        <f>H69/2</f>
        <v>-3.5000000000000003E-2</v>
      </c>
      <c r="I70" s="1223">
        <f t="shared" ref="I70:I73" si="40">$H$52*(1+H70)</f>
        <v>151.02250000000001</v>
      </c>
      <c r="J70">
        <f t="shared" ref="J70:J73" si="41">I70*G70</f>
        <v>5587.8325000000004</v>
      </c>
      <c r="M70" t="s">
        <v>257</v>
      </c>
      <c r="N70" s="1223">
        <f t="shared" si="36"/>
        <v>168.5505</v>
      </c>
      <c r="O70" s="1222">
        <f t="shared" si="37"/>
        <v>7.6999999999999999E-2</v>
      </c>
    </row>
    <row r="71" spans="2:15" x14ac:dyDescent="0.2">
      <c r="B71" t="s">
        <v>256</v>
      </c>
      <c r="C71">
        <f>G46</f>
        <v>52</v>
      </c>
      <c r="D71" s="1222">
        <f t="shared" si="38"/>
        <v>0.20967741935483872</v>
      </c>
      <c r="E71" s="1223"/>
      <c r="F71" t="s">
        <v>256</v>
      </c>
      <c r="G71" s="1223">
        <f t="shared" si="39"/>
        <v>42</v>
      </c>
      <c r="H71" s="1222">
        <v>0</v>
      </c>
      <c r="I71" s="1223">
        <f t="shared" si="40"/>
        <v>156.5</v>
      </c>
      <c r="J71">
        <f t="shared" si="41"/>
        <v>6573</v>
      </c>
      <c r="M71" t="s">
        <v>258</v>
      </c>
      <c r="N71" s="1223">
        <f t="shared" si="36"/>
        <v>175.28000000000003</v>
      </c>
      <c r="O71" s="1222">
        <f t="shared" si="37"/>
        <v>0.12</v>
      </c>
    </row>
    <row r="72" spans="2:15" x14ac:dyDescent="0.2">
      <c r="B72" t="s">
        <v>257</v>
      </c>
      <c r="C72">
        <f>H46</f>
        <v>9</v>
      </c>
      <c r="D72" s="1222">
        <f t="shared" si="38"/>
        <v>3.6290322580645164E-2</v>
      </c>
      <c r="E72" s="1223"/>
      <c r="F72" t="s">
        <v>257</v>
      </c>
      <c r="G72" s="1223">
        <f t="shared" si="39"/>
        <v>7</v>
      </c>
      <c r="H72" s="1224">
        <v>7.6999999999999999E-2</v>
      </c>
      <c r="I72" s="1223">
        <f t="shared" si="40"/>
        <v>168.5505</v>
      </c>
      <c r="J72">
        <f t="shared" si="41"/>
        <v>1179.8534999999999</v>
      </c>
      <c r="N72" s="1223">
        <f>AVERAGE(N67:N71)</f>
        <v>159.37959999999998</v>
      </c>
      <c r="O72" s="1223"/>
    </row>
    <row r="73" spans="2:15" x14ac:dyDescent="0.2">
      <c r="B73" t="s">
        <v>258</v>
      </c>
      <c r="C73">
        <f>I46</f>
        <v>57</v>
      </c>
      <c r="D73" s="1222">
        <f t="shared" si="38"/>
        <v>0.22983870967741934</v>
      </c>
      <c r="E73" s="1223"/>
      <c r="F73" t="s">
        <v>258</v>
      </c>
      <c r="G73" s="1223">
        <f t="shared" si="39"/>
        <v>46</v>
      </c>
      <c r="H73" s="1224">
        <v>0.12</v>
      </c>
      <c r="I73" s="1223">
        <f t="shared" si="40"/>
        <v>175.28000000000003</v>
      </c>
      <c r="J73">
        <f t="shared" si="41"/>
        <v>8062.880000000001</v>
      </c>
    </row>
    <row r="74" spans="2:15" x14ac:dyDescent="0.2">
      <c r="C74">
        <f>SUM(C69:C73)</f>
        <v>248</v>
      </c>
      <c r="D74" s="1222">
        <f>SUM(D69:D73)</f>
        <v>1</v>
      </c>
      <c r="E74" s="1223"/>
      <c r="F74" s="1223" t="s">
        <v>3</v>
      </c>
      <c r="G74">
        <f>SUM(G69:G73)</f>
        <v>200</v>
      </c>
      <c r="H74" s="1222">
        <f>SUM(H69:H73)</f>
        <v>9.1999999999999985E-2</v>
      </c>
      <c r="I74" t="s">
        <v>3</v>
      </c>
      <c r="J74" s="1223">
        <f>SUM(J69:J73)</f>
        <v>31300.626000000004</v>
      </c>
    </row>
    <row r="75" spans="2:15" x14ac:dyDescent="0.2">
      <c r="E75" s="1223"/>
      <c r="J75" s="1223">
        <f>+B52</f>
        <v>31300</v>
      </c>
      <c r="N75" t="s">
        <v>303</v>
      </c>
    </row>
    <row r="76" spans="2:15" x14ac:dyDescent="0.2">
      <c r="E76" s="1223"/>
      <c r="I76" t="s">
        <v>304</v>
      </c>
      <c r="J76" s="1223">
        <f>-J75+J74</f>
        <v>0.62600000000384171</v>
      </c>
      <c r="N76" s="1223">
        <f>N71-N67</f>
        <v>29.735000000000042</v>
      </c>
      <c r="O76" t="s">
        <v>289</v>
      </c>
    </row>
    <row r="77" spans="2:15" x14ac:dyDescent="0.2">
      <c r="M77" t="s">
        <v>305</v>
      </c>
      <c r="N77" s="1222">
        <f>N76/N69</f>
        <v>0.19000000000000028</v>
      </c>
      <c r="O77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"/>
  <sheetViews>
    <sheetView workbookViewId="0">
      <selection activeCell="E9" sqref="E9"/>
    </sheetView>
  </sheetViews>
  <sheetFormatPr defaultColWidth="9.140625" defaultRowHeight="12" x14ac:dyDescent="0.2"/>
  <sheetData>
    <row r="1" spans="1:1" x14ac:dyDescent="0.2">
      <c r="A1" t="s">
        <v>307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M77"/>
  <sheetViews>
    <sheetView topLeftCell="B18" zoomScale="134" workbookViewId="0">
      <selection activeCell="I26" sqref="I26"/>
    </sheetView>
  </sheetViews>
  <sheetFormatPr defaultColWidth="9.140625" defaultRowHeight="12.75" x14ac:dyDescent="0.2"/>
  <cols>
    <col min="1" max="1" width="8" style="146" customWidth="1"/>
    <col min="2" max="2" width="36.85546875" style="146" customWidth="1"/>
    <col min="3" max="3" width="11.7109375" style="147" hidden="1" customWidth="1"/>
    <col min="4" max="4" width="10.140625" style="147" customWidth="1"/>
    <col min="5" max="5" width="6.5703125" style="147" hidden="1" customWidth="1"/>
    <col min="6" max="6" width="8" style="146" customWidth="1"/>
    <col min="7" max="7" width="38.140625" style="146" customWidth="1"/>
    <col min="8" max="8" width="11.7109375" style="147" hidden="1" customWidth="1"/>
    <col min="9" max="9" width="11.42578125" style="146" customWidth="1"/>
    <col min="10" max="10" width="5.42578125" style="146" hidden="1" customWidth="1"/>
    <col min="11" max="11" width="11.42578125" style="146" customWidth="1"/>
    <col min="12" max="12" width="22" style="146" bestFit="1" customWidth="1"/>
    <col min="13" max="256" width="11.42578125" style="146" customWidth="1"/>
    <col min="257" max="257" width="7.140625" style="146" customWidth="1"/>
    <col min="258" max="1027" width="35.5703125" style="146" customWidth="1"/>
  </cols>
  <sheetData>
    <row r="1" spans="1:13" ht="5.25" customHeight="1" x14ac:dyDescent="0.2">
      <c r="A1" s="148"/>
      <c r="B1" s="148"/>
      <c r="C1" s="149"/>
      <c r="D1" s="149"/>
      <c r="E1" s="149"/>
      <c r="F1" s="148"/>
      <c r="G1" s="148"/>
      <c r="H1" s="149"/>
    </row>
    <row r="2" spans="1:13" ht="26.25" x14ac:dyDescent="0.2">
      <c r="A2" s="1346" t="s">
        <v>308</v>
      </c>
      <c r="B2" s="1346"/>
      <c r="C2" s="1346"/>
      <c r="D2" s="1346"/>
      <c r="E2" s="1346"/>
      <c r="F2" s="1346"/>
      <c r="G2" s="1346"/>
      <c r="H2" s="1346"/>
    </row>
    <row r="3" spans="1:13" ht="18" x14ac:dyDescent="0.2">
      <c r="A3" s="1347" t="s">
        <v>309</v>
      </c>
      <c r="B3" s="1347"/>
      <c r="C3" s="1347"/>
      <c r="D3" s="1347"/>
      <c r="E3" s="1347"/>
      <c r="F3" s="1347"/>
      <c r="G3" s="1347"/>
      <c r="H3" s="1347"/>
    </row>
    <row r="4" spans="1:13" ht="8.25" customHeight="1" x14ac:dyDescent="0.2">
      <c r="A4" s="1348"/>
      <c r="B4" s="1348"/>
      <c r="C4" s="1348"/>
      <c r="D4" s="1348"/>
      <c r="E4" s="1348"/>
      <c r="F4" s="1348"/>
      <c r="G4" s="1348"/>
      <c r="H4" s="1348"/>
    </row>
    <row r="5" spans="1:13" ht="20.25" x14ac:dyDescent="0.2">
      <c r="A5" s="1349" t="str">
        <f>IF('Budget analytique'!D3="","",'Budget analytique'!D3)</f>
        <v/>
      </c>
      <c r="B5" s="1349"/>
      <c r="C5" s="1349"/>
      <c r="D5" s="1349"/>
      <c r="E5" s="1349"/>
      <c r="F5" s="1349"/>
      <c r="G5" s="1349"/>
      <c r="H5" s="1349"/>
    </row>
    <row r="6" spans="1:13" ht="6.75" customHeight="1" x14ac:dyDescent="0.2">
      <c r="A6" s="1350"/>
      <c r="B6" s="1350"/>
      <c r="C6" s="1350"/>
      <c r="D6" s="1350"/>
      <c r="E6" s="1350"/>
      <c r="F6" s="1350"/>
      <c r="G6" s="1350"/>
      <c r="H6" s="1350"/>
    </row>
    <row r="7" spans="1:13" ht="13.5" thickBot="1" x14ac:dyDescent="0.25">
      <c r="A7" s="150" t="s">
        <v>310</v>
      </c>
      <c r="B7" s="151" t="s">
        <v>311</v>
      </c>
      <c r="C7" s="1344" t="s">
        <v>312</v>
      </c>
      <c r="D7" s="1344" t="s">
        <v>313</v>
      </c>
      <c r="E7" s="755"/>
      <c r="F7" s="152" t="s">
        <v>310</v>
      </c>
      <c r="G7" s="151" t="s">
        <v>314</v>
      </c>
      <c r="H7" s="1344" t="s">
        <v>312</v>
      </c>
      <c r="I7" s="1344" t="str">
        <f>D7</f>
        <v>Prev.</v>
      </c>
    </row>
    <row r="8" spans="1:13" ht="15.75" customHeight="1" thickBot="1" x14ac:dyDescent="0.25">
      <c r="A8" s="153" t="s">
        <v>315</v>
      </c>
      <c r="B8" s="154"/>
      <c r="C8" s="1345"/>
      <c r="D8" s="1345"/>
      <c r="E8" s="756"/>
      <c r="F8" s="155" t="s">
        <v>315</v>
      </c>
      <c r="G8" s="154"/>
      <c r="H8" s="1345"/>
      <c r="I8" s="1345"/>
      <c r="L8" s="1250" t="s">
        <v>844</v>
      </c>
      <c r="M8" s="1247">
        <f>I10*0.1-D55</f>
        <v>3351.4</v>
      </c>
    </row>
    <row r="9" spans="1:13" ht="13.5" thickBot="1" x14ac:dyDescent="0.25">
      <c r="A9" s="8">
        <v>60</v>
      </c>
      <c r="B9" s="9" t="s">
        <v>115</v>
      </c>
      <c r="C9" s="156">
        <f>SUM(C10:C20)</f>
        <v>8373.27</v>
      </c>
      <c r="D9" s="156">
        <f>SUM(D10:D20)</f>
        <v>38970</v>
      </c>
      <c r="E9" s="757"/>
      <c r="F9" s="91">
        <v>70</v>
      </c>
      <c r="G9" s="92" t="s">
        <v>52</v>
      </c>
      <c r="H9" s="157">
        <f>SUM(H10:H18)</f>
        <v>23722.97</v>
      </c>
      <c r="I9" s="157">
        <f>SUM(I10:I18)</f>
        <v>56840</v>
      </c>
      <c r="L9" s="1251"/>
      <c r="M9" s="1248"/>
    </row>
    <row r="10" spans="1:13" x14ac:dyDescent="0.2">
      <c r="A10" s="24">
        <v>6040000</v>
      </c>
      <c r="B10" s="25" t="s">
        <v>116</v>
      </c>
      <c r="C10" s="158">
        <f>-SUMIF(Table13[Type],'Budget CR'!B10,Table13[Montant])</f>
        <v>0</v>
      </c>
      <c r="D10" s="160">
        <f>-SUMIF('Liste prévisionnel'!M:M,'Budget CR'!B10,'Liste prévisionnel'!E:E)</f>
        <v>2000</v>
      </c>
      <c r="E10" s="762">
        <f t="shared" ref="E10:E12" si="0">IF(C10=0,0,D10/C10)</f>
        <v>0</v>
      </c>
      <c r="F10" s="24">
        <v>7060000</v>
      </c>
      <c r="G10" s="25" t="s">
        <v>53</v>
      </c>
      <c r="H10" s="159">
        <f>SUMIF(Table13[Type],'Budget CR'!G10,Table13[Montant])</f>
        <v>16175</v>
      </c>
      <c r="I10" s="159">
        <f>SUMIF('Liste prévisionnel'!M:M,'Budget CR'!G10,'Liste prévisionnel'!E:E)</f>
        <v>51090</v>
      </c>
      <c r="J10" s="762">
        <f t="shared" ref="J10:J12" si="1">IF(H10=0,0,I10/H10)</f>
        <v>3.1585780525502321</v>
      </c>
      <c r="L10" s="1251" t="s">
        <v>181</v>
      </c>
      <c r="M10" s="1248">
        <f>D72</f>
        <v>3659.9900000000052</v>
      </c>
    </row>
    <row r="11" spans="1:13" ht="13.5" thickBot="1" x14ac:dyDescent="0.25">
      <c r="A11" s="34">
        <v>6040009</v>
      </c>
      <c r="B11" s="912" t="s">
        <v>117</v>
      </c>
      <c r="C11" s="160">
        <f>-SUMIF(Table13[Type],'Budget CR'!B11,Table13[Montant])</f>
        <v>0</v>
      </c>
      <c r="D11" s="160">
        <f>-SUMIF('Liste prévisionnel'!M:M,'Budget CR'!B11,'Liste prévisionnel'!E:E)</f>
        <v>0</v>
      </c>
      <c r="E11" s="762">
        <f t="shared" si="0"/>
        <v>0</v>
      </c>
      <c r="F11" s="34">
        <v>7060009</v>
      </c>
      <c r="G11" s="912" t="s">
        <v>54</v>
      </c>
      <c r="H11" s="161">
        <f>SUMIF(Table13[Type],'Budget CR'!G11,Table13[Montant])</f>
        <v>6647.97</v>
      </c>
      <c r="I11" s="161">
        <f>SUMIF('Liste prévisionnel'!M:M,'Budget CR'!G11,'Liste prévisionnel'!E:E)</f>
        <v>2800</v>
      </c>
      <c r="J11" s="762">
        <f t="shared" si="1"/>
        <v>0.42118120268292425</v>
      </c>
      <c r="L11" s="1252" t="s">
        <v>845</v>
      </c>
      <c r="M11" s="1249">
        <f>M10-M8</f>
        <v>308.59000000000515</v>
      </c>
    </row>
    <row r="12" spans="1:13" x14ac:dyDescent="0.2">
      <c r="A12" s="34">
        <v>6061000</v>
      </c>
      <c r="B12" s="912" t="s">
        <v>118</v>
      </c>
      <c r="C12" s="160">
        <f>-SUMIF(Table13[Type],'Budget CR'!B12,Table13[Montant])</f>
        <v>0</v>
      </c>
      <c r="D12" s="160">
        <f>-SUMIF('Liste prévisionnel'!M:M,'Budget CR'!B12,'Liste prévisionnel'!E:E)</f>
        <v>500</v>
      </c>
      <c r="E12" s="762">
        <f t="shared" si="0"/>
        <v>0</v>
      </c>
      <c r="F12" s="34">
        <v>7061000</v>
      </c>
      <c r="G12" s="912" t="s">
        <v>55</v>
      </c>
      <c r="H12" s="161">
        <f>-SUMIF(Table13[Type],'Budget CR'!G12,Table13[Montant])</f>
        <v>0</v>
      </c>
      <c r="I12" s="161">
        <f>SUMIF('Liste prévisionnel'!M:M,'Budget CR'!G12,'Liste prévisionnel'!E:E)</f>
        <v>0</v>
      </c>
      <c r="J12" s="762">
        <f t="shared" si="1"/>
        <v>0</v>
      </c>
    </row>
    <row r="13" spans="1:13" x14ac:dyDescent="0.2">
      <c r="A13" s="34">
        <v>6062000</v>
      </c>
      <c r="B13" s="912" t="s">
        <v>106</v>
      </c>
      <c r="C13" s="160">
        <f>-SUMIF(Table13[Type],'Budget CR'!B13,Table13[Montant])</f>
        <v>7218.27</v>
      </c>
      <c r="D13" s="160">
        <f>-SUMIF('Liste prévisionnel'!M:M,'Budget CR'!B13,'Liste prévisionnel'!E:E)</f>
        <v>26250</v>
      </c>
      <c r="E13" s="762">
        <f>IF(C13=0,0,D13/C13)</f>
        <v>3.6366054470115414</v>
      </c>
      <c r="F13" s="34">
        <v>7070000</v>
      </c>
      <c r="G13" s="912" t="s">
        <v>56</v>
      </c>
      <c r="H13" s="161">
        <f>-SUMIF(Table13[Type],'Budget CR'!G13,Table13[Montant])</f>
        <v>0</v>
      </c>
      <c r="I13" s="161">
        <f>SUMIF('Liste prévisionnel'!M:M,'Budget CR'!G13,'Liste prévisionnel'!E:E)</f>
        <v>0</v>
      </c>
      <c r="J13" s="762">
        <f>IF(H13=0,0,I13/H13)</f>
        <v>0</v>
      </c>
    </row>
    <row r="14" spans="1:13" x14ac:dyDescent="0.2">
      <c r="A14" s="34">
        <v>6063000</v>
      </c>
      <c r="B14" s="912" t="s">
        <v>107</v>
      </c>
      <c r="C14" s="160">
        <f>-SUMIF(Table13[Type],'Budget CR'!B14,Table13[Montant])</f>
        <v>855</v>
      </c>
      <c r="D14" s="160">
        <f>-SUMIF('Liste prévisionnel'!M:M,'Budget CR'!B14,'Liste prévisionnel'!E:E)</f>
        <v>5870</v>
      </c>
      <c r="E14" s="762">
        <f t="shared" ref="E14:E20" si="2">IF(C14=0,0,D14/C14)</f>
        <v>6.8654970760233915</v>
      </c>
      <c r="F14" s="34">
        <v>7070009</v>
      </c>
      <c r="G14" s="927" t="s">
        <v>57</v>
      </c>
      <c r="H14" s="161">
        <f>-SUMIF(Table13[Type],'Budget CR'!G14,Table13[Montant])</f>
        <v>0</v>
      </c>
      <c r="I14" s="161">
        <f>SUMIF('Liste prévisionnel'!M:M,'Budget CR'!G14,'Liste prévisionnel'!E:E)</f>
        <v>0</v>
      </c>
      <c r="J14" s="762">
        <f t="shared" ref="J14:J18" si="3">IF(H14=0,0,I14/H14)</f>
        <v>0</v>
      </c>
    </row>
    <row r="15" spans="1:13" x14ac:dyDescent="0.2">
      <c r="A15" s="34">
        <v>6064000</v>
      </c>
      <c r="B15" s="912" t="s">
        <v>119</v>
      </c>
      <c r="C15" s="160">
        <f>-SUMIF(Table13[Type],'Budget CR'!B15,Table13[Montant])</f>
        <v>0</v>
      </c>
      <c r="D15" s="160">
        <f>-SUMIF('Liste prévisionnel'!M:M,'Budget CR'!B15,'Liste prévisionnel'!E:E)</f>
        <v>0</v>
      </c>
      <c r="E15" s="762">
        <f t="shared" si="2"/>
        <v>0</v>
      </c>
      <c r="F15" s="34">
        <v>7083000</v>
      </c>
      <c r="G15" s="912" t="s">
        <v>58</v>
      </c>
      <c r="H15" s="161">
        <f>-SUMIF(Table13[Type],'Budget CR'!G15,Table13[Montant])</f>
        <v>0</v>
      </c>
      <c r="I15" s="161">
        <f>SUMIF('Liste prévisionnel'!M:M,'Budget CR'!G15,'Liste prévisionnel'!E:E)</f>
        <v>0</v>
      </c>
      <c r="J15" s="762">
        <f t="shared" si="3"/>
        <v>0</v>
      </c>
    </row>
    <row r="16" spans="1:13" x14ac:dyDescent="0.2">
      <c r="A16" s="34">
        <v>6065000</v>
      </c>
      <c r="B16" s="912" t="s">
        <v>108</v>
      </c>
      <c r="C16" s="160">
        <f>-SUMIF(Table13[Type],'Budget CR'!B16,Table13[Montant])</f>
        <v>100</v>
      </c>
      <c r="D16" s="160">
        <f>-SUMIF('Liste prévisionnel'!M:M,'Budget CR'!B16,'Liste prévisionnel'!E:E)</f>
        <v>1125</v>
      </c>
      <c r="E16" s="762">
        <f t="shared" si="2"/>
        <v>11.25</v>
      </c>
      <c r="F16" s="34">
        <v>7083009</v>
      </c>
      <c r="G16" s="912" t="s">
        <v>59</v>
      </c>
      <c r="H16" s="161">
        <f>-SUMIF(Table13[Type],'Budget CR'!G16,Table13[Montant])</f>
        <v>0</v>
      </c>
      <c r="I16" s="161">
        <f>SUMIF('Liste prévisionnel'!M:M,'Budget CR'!G16,'Liste prévisionnel'!E:E)</f>
        <v>0</v>
      </c>
      <c r="J16" s="762">
        <f t="shared" si="3"/>
        <v>0</v>
      </c>
    </row>
    <row r="17" spans="1:10" x14ac:dyDescent="0.2">
      <c r="A17" s="34">
        <v>6066000</v>
      </c>
      <c r="B17" s="912" t="s">
        <v>110</v>
      </c>
      <c r="C17" s="160">
        <f>-SUMIF(Table13[Type],'Budget CR'!B17,Table13[Montant])</f>
        <v>0</v>
      </c>
      <c r="D17" s="160">
        <f>-SUMIF('Liste prévisionnel'!M:M,'Budget CR'!B17,'Liste prévisionnel'!E:E)</f>
        <v>100</v>
      </c>
      <c r="E17" s="762">
        <f t="shared" si="2"/>
        <v>0</v>
      </c>
      <c r="F17" s="34">
        <v>7080000</v>
      </c>
      <c r="G17" s="912" t="s">
        <v>60</v>
      </c>
      <c r="H17" s="161">
        <f>SUMIF(Table13[Type],'Budget CR'!G17,Table13[Montant])</f>
        <v>900</v>
      </c>
      <c r="I17" s="161">
        <f>SUMIF('Liste prévisionnel'!M:M,'Budget CR'!G17,'Liste prévisionnel'!E:E)</f>
        <v>0</v>
      </c>
      <c r="J17" s="762">
        <f t="shared" si="3"/>
        <v>0</v>
      </c>
    </row>
    <row r="18" spans="1:10" x14ac:dyDescent="0.2">
      <c r="A18" s="34">
        <v>6068000</v>
      </c>
      <c r="B18" s="912" t="s">
        <v>120</v>
      </c>
      <c r="C18" s="160">
        <f>-SUMIF(Table13[Type],'Budget CR'!B18,Table13[Montant])</f>
        <v>200</v>
      </c>
      <c r="D18" s="160">
        <f>-SUMIF('Liste prévisionnel'!M:M,'Budget CR'!B18,'Liste prévisionnel'!E:E)</f>
        <v>3125</v>
      </c>
      <c r="E18" s="762">
        <f t="shared" si="2"/>
        <v>15.625</v>
      </c>
      <c r="F18" s="34">
        <v>7080009</v>
      </c>
      <c r="G18" s="912" t="s">
        <v>61</v>
      </c>
      <c r="H18" s="161">
        <f>-SUMIF(Table13[Type],'Budget CR'!G18,Table13[Montant])</f>
        <v>0</v>
      </c>
      <c r="I18" s="161">
        <f>SUMIF('Liste prévisionnel'!M:M,'Budget CR'!G18,'Liste prévisionnel'!E:E)</f>
        <v>2950</v>
      </c>
      <c r="J18" s="762">
        <f t="shared" si="3"/>
        <v>0</v>
      </c>
    </row>
    <row r="19" spans="1:10" x14ac:dyDescent="0.2">
      <c r="A19" s="34">
        <v>6070000</v>
      </c>
      <c r="B19" s="912" t="s">
        <v>121</v>
      </c>
      <c r="C19" s="160">
        <f>-SUMIF(Table13[Type],'Budget CR'!B19,Table13[Montant])</f>
        <v>0</v>
      </c>
      <c r="D19" s="160">
        <f>-SUMIF('Liste prévisionnel'!M:M,'Budget CR'!B19,'Liste prévisionnel'!E:E)</f>
        <v>0</v>
      </c>
      <c r="E19" s="762">
        <f t="shared" si="2"/>
        <v>0</v>
      </c>
      <c r="F19" s="34"/>
      <c r="G19" s="912"/>
      <c r="H19" s="161"/>
      <c r="I19" s="161"/>
    </row>
    <row r="20" spans="1:10" ht="13.5" thickBot="1" x14ac:dyDescent="0.25">
      <c r="A20" s="989">
        <v>6070009</v>
      </c>
      <c r="B20" s="990" t="s">
        <v>122</v>
      </c>
      <c r="C20" s="160">
        <f>-SUMIF(Table13[Type],'Budget CR'!B20,Table13[Montant])</f>
        <v>0</v>
      </c>
      <c r="D20" s="160">
        <f>-SUMIF('Liste prévisionnel'!M:M,'Budget CR'!B20,'Liste prévisionnel'!E:E)</f>
        <v>0</v>
      </c>
      <c r="E20" s="762">
        <f t="shared" si="2"/>
        <v>0</v>
      </c>
      <c r="F20" s="34"/>
      <c r="G20" s="912"/>
      <c r="H20" s="162"/>
      <c r="I20" s="162"/>
    </row>
    <row r="21" spans="1:10" ht="13.5" thickBot="1" x14ac:dyDescent="0.25">
      <c r="A21" s="8">
        <v>61</v>
      </c>
      <c r="B21" s="9" t="s">
        <v>123</v>
      </c>
      <c r="C21" s="156">
        <f>SUM(C22:C31)</f>
        <v>14136.05</v>
      </c>
      <c r="D21" s="156">
        <f>SUM(D22:D31)</f>
        <v>21008.81</v>
      </c>
      <c r="E21" s="156"/>
      <c r="F21" s="100">
        <v>74</v>
      </c>
      <c r="G21" s="9" t="s">
        <v>35</v>
      </c>
      <c r="H21" s="157">
        <f>SUM(H22:H30)</f>
        <v>10320</v>
      </c>
      <c r="I21" s="157">
        <f>SUM(I22:I30)</f>
        <v>17040</v>
      </c>
    </row>
    <row r="22" spans="1:10" x14ac:dyDescent="0.2">
      <c r="A22" s="24">
        <v>6132000</v>
      </c>
      <c r="B22" s="25" t="s">
        <v>124</v>
      </c>
      <c r="C22" s="158">
        <f>-SUMIF(Table13[Type],'Budget CR'!B22,Table13[Montant])</f>
        <v>4320</v>
      </c>
      <c r="D22" s="160">
        <f>-SUMIF('Liste prévisionnel'!M:M,'Budget CR'!B22,'Liste prévisionnel'!E:E)</f>
        <v>8480</v>
      </c>
      <c r="E22" s="762">
        <f t="shared" ref="E22:E31" si="4">IF(C22=0,0,D22/C22)</f>
        <v>1.962962962962963</v>
      </c>
      <c r="F22" s="951">
        <v>7410000</v>
      </c>
      <c r="G22" s="1018" t="s">
        <v>62</v>
      </c>
      <c r="H22" s="163">
        <f>SUMIF(Table13[Type],'Budget CR'!G22,Table13[Montant])</f>
        <v>6000</v>
      </c>
      <c r="I22" s="163">
        <f>SUMIF('Liste prévisionnel'!M:M,'Budget CR'!G22,'Liste prévisionnel'!E:E)</f>
        <v>6600</v>
      </c>
      <c r="J22" s="762">
        <f t="shared" ref="J22:J30" si="5">IF(H22=0,0,I22/H22)</f>
        <v>1.1000000000000001</v>
      </c>
    </row>
    <row r="23" spans="1:10" x14ac:dyDescent="0.2">
      <c r="A23" s="34">
        <v>6132009</v>
      </c>
      <c r="B23" s="912" t="s">
        <v>109</v>
      </c>
      <c r="C23" s="160">
        <f>-SUMIF(Table13[Type],'Budget CR'!B23,Table13[Montant])</f>
        <v>8600</v>
      </c>
      <c r="D23" s="160">
        <f>-SUMIF('Liste prévisionnel'!M:M,'Budget CR'!B23,'Liste prévisionnel'!E:E)</f>
        <v>9000</v>
      </c>
      <c r="E23" s="762">
        <f t="shared" si="4"/>
        <v>1.0465116279069768</v>
      </c>
      <c r="F23" s="953">
        <v>7411000</v>
      </c>
      <c r="G23" s="1019" t="s">
        <v>63</v>
      </c>
      <c r="H23" s="164">
        <f>-SUMIF(Table13[Type],'Budget CR'!G23,Table13[Montant])</f>
        <v>0</v>
      </c>
      <c r="I23" s="164">
        <f>SUMIF('Liste prévisionnel'!M:M,'Budget CR'!G23,'Liste prévisionnel'!E:E)</f>
        <v>6000</v>
      </c>
      <c r="J23" s="762">
        <f t="shared" si="5"/>
        <v>0</v>
      </c>
    </row>
    <row r="24" spans="1:10" x14ac:dyDescent="0.2">
      <c r="A24" s="34">
        <v>6135000</v>
      </c>
      <c r="B24" s="912" t="s">
        <v>126</v>
      </c>
      <c r="C24" s="160">
        <f>-SUMIF(Table13[Type],'Budget CR'!B24,Table13[Montant])</f>
        <v>0</v>
      </c>
      <c r="D24" s="160">
        <f>-SUMIF('Liste prévisionnel'!M:M,'Budget CR'!B24,'Liste prévisionnel'!E:E)</f>
        <v>1080</v>
      </c>
      <c r="E24" s="762">
        <f t="shared" si="4"/>
        <v>0</v>
      </c>
      <c r="F24" s="953">
        <v>7412000</v>
      </c>
      <c r="G24" s="1019" t="s">
        <v>64</v>
      </c>
      <c r="H24" s="165">
        <f>-SUMIF(Table13[Type],'Budget CR'!G24,Table13[Montant])</f>
        <v>0</v>
      </c>
      <c r="I24" s="164">
        <f>SUMIF('Liste prévisionnel'!M:M,'Budget CR'!G24,'Liste prévisionnel'!E:E)</f>
        <v>0</v>
      </c>
      <c r="J24" s="762">
        <f t="shared" si="5"/>
        <v>0</v>
      </c>
    </row>
    <row r="25" spans="1:10" x14ac:dyDescent="0.2">
      <c r="A25" s="34">
        <v>6135009</v>
      </c>
      <c r="B25" s="912" t="s">
        <v>127</v>
      </c>
      <c r="C25" s="160">
        <f>-SUMIF(Table13[Type],'Budget CR'!B25,Table13[Montant])</f>
        <v>0</v>
      </c>
      <c r="D25" s="160">
        <f>-SUMIF('Liste prévisionnel'!M:M,'Budget CR'!B25,'Liste prévisionnel'!E:E)</f>
        <v>0</v>
      </c>
      <c r="E25" s="762">
        <f t="shared" si="4"/>
        <v>0</v>
      </c>
      <c r="F25" s="953">
        <v>7413000</v>
      </c>
      <c r="G25" s="1019" t="s">
        <v>65</v>
      </c>
      <c r="H25" s="165">
        <f>SUMIF(Table13[Type],'Budget CR'!G25,Table13[Montant])</f>
        <v>4320</v>
      </c>
      <c r="I25" s="164">
        <f>SUMIF('Liste prévisionnel'!M:M,'Budget CR'!G25,'Liste prévisionnel'!E:E)</f>
        <v>4440</v>
      </c>
      <c r="J25" s="762">
        <f t="shared" si="5"/>
        <v>1.0277777777777777</v>
      </c>
    </row>
    <row r="26" spans="1:10" x14ac:dyDescent="0.2">
      <c r="A26" s="34">
        <v>6140000</v>
      </c>
      <c r="B26" s="912" t="s">
        <v>128</v>
      </c>
      <c r="C26" s="160">
        <f>-SUMIF(Table13[Type],'Budget CR'!B26,Table13[Montant])</f>
        <v>0</v>
      </c>
      <c r="D26" s="160">
        <f>-SUMIF('Liste prévisionnel'!M:M,'Budget CR'!B26,'Liste prévisionnel'!E:E)</f>
        <v>0</v>
      </c>
      <c r="E26" s="762">
        <f t="shared" si="4"/>
        <v>0</v>
      </c>
      <c r="F26" s="953">
        <v>7414000</v>
      </c>
      <c r="G26" s="1019" t="s">
        <v>66</v>
      </c>
      <c r="H26" s="165">
        <f>-SUMIF(Table13[Type],'Budget CR'!G26,Table13[Montant])</f>
        <v>0</v>
      </c>
      <c r="I26" s="164">
        <f>SUMIF('Liste prévisionnel'!M:M,'Budget CR'!G26,'Liste prévisionnel'!E:E)</f>
        <v>0</v>
      </c>
      <c r="J26" s="762">
        <f t="shared" si="5"/>
        <v>0</v>
      </c>
    </row>
    <row r="27" spans="1:10" x14ac:dyDescent="0.2">
      <c r="A27" s="34">
        <v>6150000</v>
      </c>
      <c r="B27" s="912" t="s">
        <v>129</v>
      </c>
      <c r="C27" s="160">
        <f>-SUMIF(Table13[Type],'Budget CR'!B27,Table13[Montant])</f>
        <v>200</v>
      </c>
      <c r="D27" s="160">
        <f>-SUMIF('Liste prévisionnel'!M:M,'Budget CR'!B27,'Liste prévisionnel'!E:E)</f>
        <v>500</v>
      </c>
      <c r="E27" s="762">
        <f t="shared" si="4"/>
        <v>2.5</v>
      </c>
      <c r="F27" s="953">
        <v>7414009</v>
      </c>
      <c r="G27" s="1019" t="s">
        <v>67</v>
      </c>
      <c r="H27" s="164">
        <f>-SUMIF(Table13[Type],'Budget CR'!G27,Table13[Montant])</f>
        <v>0</v>
      </c>
      <c r="I27" s="164">
        <f>SUMIF('Liste prévisionnel'!M:M,'Budget CR'!G27,'Liste prévisionnel'!E:E)</f>
        <v>0</v>
      </c>
      <c r="J27" s="762">
        <f t="shared" si="5"/>
        <v>0</v>
      </c>
    </row>
    <row r="28" spans="1:10" x14ac:dyDescent="0.2">
      <c r="A28" s="34">
        <v>6160000</v>
      </c>
      <c r="B28" s="912" t="s">
        <v>130</v>
      </c>
      <c r="C28" s="160">
        <f>-SUMIF(Table13[Type],'Budget CR'!B28,Table13[Montant])</f>
        <v>1016.05</v>
      </c>
      <c r="D28" s="160">
        <f>-SUMIF('Liste prévisionnel'!M:M,'Budget CR'!B28,'Liste prévisionnel'!E:E)</f>
        <v>1948.81</v>
      </c>
      <c r="E28" s="762">
        <f t="shared" si="4"/>
        <v>1.9180256877122188</v>
      </c>
      <c r="F28" s="953">
        <v>7415000</v>
      </c>
      <c r="G28" s="1019" t="s">
        <v>68</v>
      </c>
      <c r="H28" s="164">
        <f>-SUMIF(Table13[Type],'Budget CR'!G28,Table13[Montant])</f>
        <v>0</v>
      </c>
      <c r="I28" s="164">
        <f>SUMIF('Liste prévisionnel'!M:M,'Budget CR'!G28,'Liste prévisionnel'!E:E)</f>
        <v>0</v>
      </c>
      <c r="J28" s="762">
        <f t="shared" si="5"/>
        <v>0</v>
      </c>
    </row>
    <row r="29" spans="1:10" x14ac:dyDescent="0.2">
      <c r="A29" s="34">
        <v>6180000</v>
      </c>
      <c r="B29" s="912" t="s">
        <v>131</v>
      </c>
      <c r="C29" s="160">
        <f>-SUMIF(Table13[Type],'Budget CR'!B29,Table13[Montant])</f>
        <v>0</v>
      </c>
      <c r="D29" s="160">
        <f>-SUMIF('Liste prévisionnel'!M:M,'Budget CR'!B29,'Liste prévisionnel'!E:E)</f>
        <v>0</v>
      </c>
      <c r="E29" s="762">
        <f t="shared" si="4"/>
        <v>0</v>
      </c>
      <c r="F29" s="953">
        <v>7416000</v>
      </c>
      <c r="G29" s="1019" t="s">
        <v>69</v>
      </c>
      <c r="H29" s="164">
        <f>-SUMIF(Table13[Type],'Budget CR'!G29,Table13[Montant])</f>
        <v>0</v>
      </c>
      <c r="I29" s="164">
        <f>SUMIF('Liste prévisionnel'!M:M,'Budget CR'!G29,'Liste prévisionnel'!E:E)</f>
        <v>0</v>
      </c>
      <c r="J29" s="762">
        <f t="shared" si="5"/>
        <v>0</v>
      </c>
    </row>
    <row r="30" spans="1:10" x14ac:dyDescent="0.2">
      <c r="A30" s="34">
        <v>6180009</v>
      </c>
      <c r="B30" s="912" t="s">
        <v>132</v>
      </c>
      <c r="C30" s="160">
        <f>-SUMIF(Table13[Type],'Budget CR'!B30,Table13[Montant])</f>
        <v>0</v>
      </c>
      <c r="D30" s="160">
        <f>-SUMIF('Liste prévisionnel'!M:M,'Budget CR'!B30,'Liste prévisionnel'!E:E)</f>
        <v>0</v>
      </c>
      <c r="E30" s="762">
        <f t="shared" si="4"/>
        <v>0</v>
      </c>
      <c r="F30" s="953">
        <v>7480000</v>
      </c>
      <c r="G30" s="166" t="s">
        <v>70</v>
      </c>
      <c r="H30" s="164">
        <f>-SUMIF(Table13[Type],'Budget CR'!G30,Table13[Montant])</f>
        <v>0</v>
      </c>
      <c r="I30" s="164">
        <f>SUMIF('Liste prévisionnel'!M:M,'Budget CR'!G30,'Liste prévisionnel'!E:E)</f>
        <v>0</v>
      </c>
      <c r="J30" s="762">
        <f t="shared" si="5"/>
        <v>0</v>
      </c>
    </row>
    <row r="31" spans="1:10" ht="13.5" thickBot="1" x14ac:dyDescent="0.25">
      <c r="A31" s="989">
        <v>6183000</v>
      </c>
      <c r="B31" s="990" t="s">
        <v>133</v>
      </c>
      <c r="C31" s="1020">
        <f>-SUMIF(Table13[Type],'Budget CR'!B31,Table13[Montant])</f>
        <v>0</v>
      </c>
      <c r="D31" s="160">
        <f>-SUMIF('Liste prévisionnel'!M:M,'Budget CR'!B31,'Liste prévisionnel'!E:E)</f>
        <v>0</v>
      </c>
      <c r="E31" s="762">
        <f t="shared" si="4"/>
        <v>0</v>
      </c>
      <c r="F31" s="953"/>
      <c r="G31" s="166"/>
      <c r="H31" s="164"/>
      <c r="I31" s="164"/>
    </row>
    <row r="32" spans="1:10" ht="13.5" thickBot="1" x14ac:dyDescent="0.25">
      <c r="A32" s="8">
        <v>62</v>
      </c>
      <c r="B32" s="9" t="s">
        <v>134</v>
      </c>
      <c r="C32" s="156">
        <f>SUM(C33:C40)</f>
        <v>11706.7</v>
      </c>
      <c r="D32" s="156">
        <f>SUM(D33:D40)</f>
        <v>4483.6000000000004</v>
      </c>
      <c r="E32" s="759"/>
      <c r="F32" s="953"/>
      <c r="G32" s="166"/>
      <c r="H32" s="164"/>
      <c r="I32" s="164"/>
    </row>
    <row r="33" spans="1:10" x14ac:dyDescent="0.2">
      <c r="A33" s="24">
        <v>6226000</v>
      </c>
      <c r="B33" s="25" t="s">
        <v>135</v>
      </c>
      <c r="C33" s="158">
        <f>-SUMIF(Table13[Type],'Budget CR'!B33,Table13[Montant])</f>
        <v>0</v>
      </c>
      <c r="D33" s="160">
        <f>-SUMIF('Liste prévisionnel'!M:M,'Budget CR'!B33,'Liste prévisionnel'!E:E)</f>
        <v>0</v>
      </c>
      <c r="E33" s="762">
        <f t="shared" ref="E33:E40" si="6">IF(C33=0,0,D33/C33)</f>
        <v>0</v>
      </c>
      <c r="F33" s="953"/>
      <c r="G33" s="1019"/>
      <c r="H33" s="164"/>
      <c r="I33" s="164"/>
    </row>
    <row r="34" spans="1:10" x14ac:dyDescent="0.2">
      <c r="A34" s="34">
        <v>6230000</v>
      </c>
      <c r="B34" s="912" t="s">
        <v>111</v>
      </c>
      <c r="C34" s="160">
        <f>-SUMIF(Table13[Type],'Budget CR'!B34,Table13[Montant])</f>
        <v>0</v>
      </c>
      <c r="D34" s="160">
        <f>-SUMIF('Liste prévisionnel'!M:M,'Budget CR'!B34,'Liste prévisionnel'!E:E)</f>
        <v>0</v>
      </c>
      <c r="E34" s="762">
        <f t="shared" si="6"/>
        <v>0</v>
      </c>
      <c r="F34" s="953"/>
      <c r="G34" s="166"/>
      <c r="H34" s="164"/>
      <c r="I34" s="164"/>
    </row>
    <row r="35" spans="1:10" x14ac:dyDescent="0.2">
      <c r="A35" s="34">
        <v>6230009</v>
      </c>
      <c r="B35" s="912" t="s">
        <v>136</v>
      </c>
      <c r="C35" s="160">
        <f>-SUMIF(Table13[Type],'Budget CR'!B35,Table13[Montant])</f>
        <v>0</v>
      </c>
      <c r="D35" s="160">
        <f>-SUMIF('Liste prévisionnel'!M:M,'Budget CR'!B35,'Liste prévisionnel'!E:E)</f>
        <v>0</v>
      </c>
      <c r="E35" s="762">
        <f t="shared" si="6"/>
        <v>0</v>
      </c>
      <c r="F35" s="953"/>
      <c r="G35" s="166"/>
      <c r="H35" s="164"/>
      <c r="I35" s="164"/>
    </row>
    <row r="36" spans="1:10" x14ac:dyDescent="0.2">
      <c r="A36" s="34">
        <v>6240000</v>
      </c>
      <c r="B36" s="912" t="s">
        <v>137</v>
      </c>
      <c r="C36" s="160">
        <f>-SUMIF(Table13[Type],'Budget CR'!B36,Table13[Montant])</f>
        <v>8700</v>
      </c>
      <c r="D36" s="160">
        <f>-SUMIF('Liste prévisionnel'!M:M,'Budget CR'!B36,'Liste prévisionnel'!E:E)</f>
        <v>3650</v>
      </c>
      <c r="E36" s="762">
        <f t="shared" si="6"/>
        <v>0.41954022988505746</v>
      </c>
      <c r="F36" s="953"/>
      <c r="G36" s="1019"/>
      <c r="H36" s="164"/>
      <c r="I36" s="164"/>
    </row>
    <row r="37" spans="1:10" x14ac:dyDescent="0.2">
      <c r="A37" s="34">
        <v>6250000</v>
      </c>
      <c r="B37" s="912" t="s">
        <v>138</v>
      </c>
      <c r="C37" s="160">
        <f>-SUMIF(Table13[Type],'Budget CR'!B37,Table13[Montant])</f>
        <v>2831.7</v>
      </c>
      <c r="D37" s="160">
        <f>-SUMIF('Liste prévisionnel'!M:M,'Budget CR'!B37,'Liste prévisionnel'!E:E)</f>
        <v>700</v>
      </c>
      <c r="E37" s="762">
        <f t="shared" si="6"/>
        <v>0.24720132782427517</v>
      </c>
      <c r="F37" s="953"/>
      <c r="G37" s="166"/>
      <c r="H37" s="164"/>
      <c r="I37" s="164"/>
    </row>
    <row r="38" spans="1:10" x14ac:dyDescent="0.2">
      <c r="A38" s="34">
        <v>6260000</v>
      </c>
      <c r="B38" s="912" t="s">
        <v>139</v>
      </c>
      <c r="C38" s="160">
        <f>-SUMIF(Table13[Type],'Budget CR'!B38,Table13[Montant])</f>
        <v>120</v>
      </c>
      <c r="D38" s="160">
        <f>-SUMIF('Liste prévisionnel'!M:M,'Budget CR'!B38,'Liste prévisionnel'!E:E)</f>
        <v>0</v>
      </c>
      <c r="E38" s="762">
        <f t="shared" si="6"/>
        <v>0</v>
      </c>
      <c r="F38" s="953"/>
      <c r="G38" s="1019"/>
      <c r="H38" s="164"/>
      <c r="I38" s="164"/>
    </row>
    <row r="39" spans="1:10" x14ac:dyDescent="0.2">
      <c r="A39" s="34">
        <v>6270000</v>
      </c>
      <c r="B39" s="912" t="s">
        <v>140</v>
      </c>
      <c r="C39" s="160">
        <f>-SUMIF(Table13[Type],'Budget CR'!B39,Table13[Montant])</f>
        <v>55</v>
      </c>
      <c r="D39" s="160">
        <f>-SUMIF('Liste prévisionnel'!M:M,'Budget CR'!B39,'Liste prévisionnel'!E:E)</f>
        <v>63.6</v>
      </c>
      <c r="E39" s="762">
        <f t="shared" si="6"/>
        <v>1.1563636363636365</v>
      </c>
      <c r="F39" s="953"/>
      <c r="G39" s="1019"/>
      <c r="H39" s="164"/>
      <c r="I39" s="164"/>
    </row>
    <row r="40" spans="1:10" ht="13.5" thickBot="1" x14ac:dyDescent="0.25">
      <c r="A40" s="989">
        <v>6280000</v>
      </c>
      <c r="B40" s="990" t="s">
        <v>141</v>
      </c>
      <c r="C40" s="1020">
        <f>-SUMIF(Table13[Type],'Budget CR'!B40,Table13[Montant])</f>
        <v>0</v>
      </c>
      <c r="D40" s="160">
        <f>-SUMIF('Liste prévisionnel'!M:M,'Budget CR'!B40,'Liste prévisionnel'!E:E)</f>
        <v>70</v>
      </c>
      <c r="E40" s="762">
        <f t="shared" si="6"/>
        <v>0</v>
      </c>
      <c r="F40" s="953"/>
      <c r="G40" s="1019"/>
      <c r="H40" s="164"/>
      <c r="I40" s="164"/>
    </row>
    <row r="41" spans="1:10" ht="13.5" thickBot="1" x14ac:dyDescent="0.25">
      <c r="A41" s="8">
        <v>63</v>
      </c>
      <c r="B41" s="9" t="s">
        <v>142</v>
      </c>
      <c r="C41" s="156">
        <f>C42</f>
        <v>0</v>
      </c>
      <c r="D41" s="156">
        <f>D42</f>
        <v>0</v>
      </c>
      <c r="E41" s="759"/>
      <c r="F41" s="953"/>
      <c r="G41" s="1019"/>
      <c r="H41" s="164"/>
      <c r="I41" s="164"/>
    </row>
    <row r="42" spans="1:10" ht="13.5" thickBot="1" x14ac:dyDescent="0.25">
      <c r="A42" s="47">
        <v>6370000</v>
      </c>
      <c r="B42" s="963" t="s">
        <v>143</v>
      </c>
      <c r="C42" s="167">
        <f>-SUMIF(Table13[Type],'Budget CR'!B42,Table13[Montant])</f>
        <v>0</v>
      </c>
      <c r="D42" s="160">
        <f>-SUMIF('Liste prévisionnel'!L:L,'Budget CR'!B42,'Liste prévisionnel'!E:E)</f>
        <v>0</v>
      </c>
      <c r="E42" s="762">
        <f>IF(C42=0,0,D42/C42)</f>
        <v>0</v>
      </c>
      <c r="F42" s="953"/>
      <c r="G42" s="1019"/>
      <c r="H42" s="164"/>
      <c r="I42" s="164"/>
    </row>
    <row r="43" spans="1:10" ht="13.5" thickBot="1" x14ac:dyDescent="0.25">
      <c r="A43" s="8">
        <v>64</v>
      </c>
      <c r="B43" s="9" t="s">
        <v>144</v>
      </c>
      <c r="C43" s="156">
        <f>SUM(C44:C46)</f>
        <v>9400</v>
      </c>
      <c r="D43" s="156">
        <f>SUM(D44:D46)</f>
        <v>0</v>
      </c>
      <c r="E43" s="759"/>
      <c r="F43" s="953"/>
      <c r="G43" s="1019"/>
      <c r="H43" s="164"/>
      <c r="I43" s="164"/>
    </row>
    <row r="44" spans="1:10" x14ac:dyDescent="0.2">
      <c r="A44" s="24">
        <v>6410009</v>
      </c>
      <c r="B44" s="25" t="s">
        <v>112</v>
      </c>
      <c r="C44" s="168">
        <f>-SUMIF(Table13[Type],'Budget CR'!B44,Table13[Montant])</f>
        <v>9400</v>
      </c>
      <c r="D44" s="160">
        <f>-SUMIF('Liste prévisionnel'!M:M,'Budget CR'!B44,'Liste prévisionnel'!E:E)</f>
        <v>0</v>
      </c>
      <c r="E44" s="762">
        <f t="shared" ref="E44:E46" si="7">IF(C44=0,0,D44/C44)</f>
        <v>0</v>
      </c>
      <c r="F44" s="953"/>
      <c r="G44" s="1019"/>
      <c r="H44" s="164"/>
      <c r="I44" s="164"/>
    </row>
    <row r="45" spans="1:10" x14ac:dyDescent="0.2">
      <c r="A45" s="60">
        <v>6450009</v>
      </c>
      <c r="B45" s="974" t="s">
        <v>145</v>
      </c>
      <c r="C45" s="169">
        <f>-SUMIF(Table13[Type],'Budget CR'!B45,Table13[Montant])</f>
        <v>0</v>
      </c>
      <c r="D45" s="160">
        <f>-SUMIF('Liste prévisionnel'!M:M,'Budget CR'!B45,'Liste prévisionnel'!E:E)</f>
        <v>0</v>
      </c>
      <c r="E45" s="762">
        <f t="shared" si="7"/>
        <v>0</v>
      </c>
      <c r="F45" s="973"/>
      <c r="G45" s="1021"/>
      <c r="H45" s="170"/>
      <c r="I45" s="170"/>
    </row>
    <row r="46" spans="1:10" ht="13.5" thickBot="1" x14ac:dyDescent="0.25">
      <c r="A46" s="1008">
        <v>6480000</v>
      </c>
      <c r="B46" s="974" t="s">
        <v>146</v>
      </c>
      <c r="C46" s="169">
        <f>-SUMIF(Table13[Type],'Budget CR'!B46,Table13[Montant])</f>
        <v>0</v>
      </c>
      <c r="D46" s="160">
        <f>-SUMIF('Liste prévisionnel'!M:M,'Budget CR'!B46,'Liste prévisionnel'!E:E)</f>
        <v>0</v>
      </c>
      <c r="E46" s="762">
        <f t="shared" si="7"/>
        <v>0</v>
      </c>
      <c r="F46" s="171"/>
      <c r="G46" s="172"/>
      <c r="H46" s="173"/>
      <c r="I46" s="173"/>
    </row>
    <row r="47" spans="1:10" ht="13.5" thickBot="1" x14ac:dyDescent="0.25">
      <c r="A47" s="8">
        <v>65</v>
      </c>
      <c r="B47" s="9" t="s">
        <v>147</v>
      </c>
      <c r="C47" s="174">
        <f>SUM(C48:C55)</f>
        <v>200</v>
      </c>
      <c r="D47" s="174">
        <f>SUM(D48:D55)</f>
        <v>6107.6</v>
      </c>
      <c r="E47" s="760"/>
      <c r="F47" s="102">
        <v>75</v>
      </c>
      <c r="G47" s="9" t="s">
        <v>71</v>
      </c>
      <c r="H47" s="157">
        <f>SUM(H48:H54)</f>
        <v>200</v>
      </c>
      <c r="I47" s="157">
        <f>SUM(I48:I54)</f>
        <v>350</v>
      </c>
    </row>
    <row r="48" spans="1:10" x14ac:dyDescent="0.2">
      <c r="A48" s="24">
        <v>6561009</v>
      </c>
      <c r="B48" s="175" t="s">
        <v>148</v>
      </c>
      <c r="C48" s="158">
        <f>-SUMIF(Table13[Type],'Budget CR'!B48,Table13[Montant])</f>
        <v>200</v>
      </c>
      <c r="D48" s="160">
        <f>-SUMIF('Liste prévisionnel'!M:M,'Budget CR'!B48,'Liste prévisionnel'!E:E)</f>
        <v>350</v>
      </c>
      <c r="E48" s="762">
        <f t="shared" ref="E48:E55" si="8">IF(C48=0,0,D48/C48)</f>
        <v>1.75</v>
      </c>
      <c r="F48" s="951">
        <v>7540000</v>
      </c>
      <c r="G48" s="952" t="s">
        <v>72</v>
      </c>
      <c r="H48" s="163">
        <f>-SUMIF(Table13[Type],'Budget CR'!G48,Table13[Montant])</f>
        <v>0</v>
      </c>
      <c r="I48" s="163">
        <f>SUMIF('Liste prévisionnel'!M:M,'Budget CR'!G48,'Liste prévisionnel'!E:E)</f>
        <v>0</v>
      </c>
      <c r="J48" s="762">
        <f t="shared" ref="J48:J54" si="9">IF(H48=0,0,I48/H48)</f>
        <v>0</v>
      </c>
    </row>
    <row r="49" spans="1:10" x14ac:dyDescent="0.2">
      <c r="A49" s="34">
        <v>6566009</v>
      </c>
      <c r="B49" s="1019" t="s">
        <v>149</v>
      </c>
      <c r="C49" s="160">
        <f>-SUMIF(Table13[Type],'Budget CR'!B49,Table13[Montant])</f>
        <v>0</v>
      </c>
      <c r="D49" s="160">
        <f>-SUMIF('Liste prévisionnel'!M:M,'Budget CR'!B49,'Liste prévisionnel'!E:E)</f>
        <v>0</v>
      </c>
      <c r="E49" s="762">
        <f t="shared" si="8"/>
        <v>0</v>
      </c>
      <c r="F49" s="951">
        <v>7540009</v>
      </c>
      <c r="G49" s="952" t="s">
        <v>73</v>
      </c>
      <c r="H49" s="164">
        <f>-SUMIF(Table13[Type],'Budget CR'!G49,Table13[Montant])</f>
        <v>0</v>
      </c>
      <c r="I49" s="164">
        <f>SUMIF('Liste prévisionnel'!M:M,'Budget CR'!G49,'Liste prévisionnel'!E:E)</f>
        <v>0</v>
      </c>
      <c r="J49" s="762">
        <f t="shared" si="9"/>
        <v>0</v>
      </c>
    </row>
    <row r="50" spans="1:10" x14ac:dyDescent="0.2">
      <c r="A50" s="34">
        <v>6570009</v>
      </c>
      <c r="B50" s="1019" t="s">
        <v>150</v>
      </c>
      <c r="C50" s="160">
        <f>-SUMIF(Table13[Type],'Budget CR'!B50,Table13[Montant])</f>
        <v>0</v>
      </c>
      <c r="D50" s="160">
        <f>-SUMIF('Liste prévisionnel'!M:M,'Budget CR'!B50,'Liste prévisionnel'!E:E)</f>
        <v>0</v>
      </c>
      <c r="E50" s="762">
        <f t="shared" si="8"/>
        <v>0</v>
      </c>
      <c r="F50" s="951">
        <v>7560000</v>
      </c>
      <c r="G50" s="952" t="s">
        <v>74</v>
      </c>
      <c r="H50" s="164">
        <f>SUMIF(Table13[Type],'Budget CR'!G50,Table13[Montant])</f>
        <v>200</v>
      </c>
      <c r="I50" s="164">
        <f>SUMIF('Liste prévisionnel'!M:M,'Budget CR'!G50,'Liste prévisionnel'!E:E)</f>
        <v>350</v>
      </c>
      <c r="J50" s="762">
        <f t="shared" si="9"/>
        <v>1.75</v>
      </c>
    </row>
    <row r="51" spans="1:10" x14ac:dyDescent="0.2">
      <c r="A51" s="34">
        <v>6572009</v>
      </c>
      <c r="B51" s="1019" t="s">
        <v>151</v>
      </c>
      <c r="C51" s="160">
        <f>-SUMIF(Table13[Type],'Budget CR'!B51,Table13[Montant])</f>
        <v>0</v>
      </c>
      <c r="D51" s="160">
        <f>-SUMIF('Liste prévisionnel'!M:M,'Budget CR'!B51,'Liste prévisionnel'!E:E)</f>
        <v>0</v>
      </c>
      <c r="E51" s="762">
        <f t="shared" si="8"/>
        <v>0</v>
      </c>
      <c r="F51" s="953">
        <v>7580000</v>
      </c>
      <c r="G51" s="912" t="s">
        <v>75</v>
      </c>
      <c r="H51" s="164">
        <f>-SUMIF(Table13[Type],'Budget CR'!G51,Table13[Montant])</f>
        <v>0</v>
      </c>
      <c r="I51" s="164">
        <f>SUMIF('Liste prévisionnel'!M:M,'Budget CR'!G51,'Liste prévisionnel'!E:E)</f>
        <v>0</v>
      </c>
      <c r="J51" s="762">
        <f t="shared" si="9"/>
        <v>0</v>
      </c>
    </row>
    <row r="52" spans="1:10" x14ac:dyDescent="0.2">
      <c r="A52" s="34">
        <v>6580000</v>
      </c>
      <c r="B52" s="1019" t="s">
        <v>152</v>
      </c>
      <c r="C52" s="160">
        <f>-SUMIF(Table13[Type],'Budget CR'!B52,Table13[Montant])</f>
        <v>0</v>
      </c>
      <c r="D52" s="160">
        <f>-SUMIF('Liste prévisionnel'!M:M,'Budget CR'!B52,'Liste prévisionnel'!E:E)</f>
        <v>1000</v>
      </c>
      <c r="E52" s="762">
        <f t="shared" si="8"/>
        <v>0</v>
      </c>
      <c r="F52" s="953">
        <v>7580009</v>
      </c>
      <c r="G52" s="912" t="s">
        <v>76</v>
      </c>
      <c r="H52" s="164">
        <f>-SUMIF(Table13[Type],'Budget CR'!G52,Table13[Montant])</f>
        <v>0</v>
      </c>
      <c r="I52" s="164">
        <f>SUMIF('Liste prévisionnel'!M:M,'Budget CR'!G52,'Liste prévisionnel'!E:E)</f>
        <v>0</v>
      </c>
      <c r="J52" s="762">
        <f t="shared" si="9"/>
        <v>0</v>
      </c>
    </row>
    <row r="53" spans="1:10" x14ac:dyDescent="0.2">
      <c r="A53" s="60">
        <v>6580009</v>
      </c>
      <c r="B53" s="1019" t="s">
        <v>153</v>
      </c>
      <c r="C53" s="176">
        <f>-SUMIF(Table13[Type],'Budget CR'!B53,Table13[Montant])</f>
        <v>0</v>
      </c>
      <c r="D53" s="160">
        <f>-SUMIF('Liste prévisionnel'!M:M,'Budget CR'!B53,'Liste prévisionnel'!E:E)</f>
        <v>3000</v>
      </c>
      <c r="E53" s="762">
        <f t="shared" si="8"/>
        <v>0</v>
      </c>
      <c r="F53" s="953">
        <v>7580029</v>
      </c>
      <c r="G53" s="1019" t="s">
        <v>77</v>
      </c>
      <c r="H53" s="170">
        <f>-SUMIF(Table13[Type],'Budget CR'!G53,Table13[Montant])</f>
        <v>0</v>
      </c>
      <c r="I53" s="164">
        <v>0</v>
      </c>
      <c r="J53" s="762">
        <f t="shared" si="9"/>
        <v>0</v>
      </c>
    </row>
    <row r="54" spans="1:10" x14ac:dyDescent="0.2">
      <c r="A54" s="953">
        <v>6580029</v>
      </c>
      <c r="B54" s="1019" t="s">
        <v>77</v>
      </c>
      <c r="C54" s="176">
        <f>-SUMIF(Table13[Type],'Budget CR'!B54,Table13[Montant])</f>
        <v>0</v>
      </c>
      <c r="D54" s="160">
        <f>-SUMIF('Liste prévisionnel'!M:M,'Budget CR'!B54,'Liste prévisionnel'!E:E)</f>
        <v>0</v>
      </c>
      <c r="E54" s="762">
        <f t="shared" si="8"/>
        <v>0</v>
      </c>
      <c r="F54" s="953">
        <v>7581009</v>
      </c>
      <c r="G54" s="1019" t="s">
        <v>78</v>
      </c>
      <c r="H54" s="170">
        <f>-SUMIF(Table13[Type],'Budget CR'!G54,Table13[Montant])</f>
        <v>0</v>
      </c>
      <c r="I54" s="164">
        <v>0</v>
      </c>
      <c r="J54" s="762">
        <f t="shared" si="9"/>
        <v>0</v>
      </c>
    </row>
    <row r="55" spans="1:10" ht="13.5" thickBot="1" x14ac:dyDescent="0.25">
      <c r="A55" s="989">
        <v>6581009</v>
      </c>
      <c r="B55" s="172" t="s">
        <v>78</v>
      </c>
      <c r="C55" s="1020">
        <f>-SUMIF(Table13[Type],'Budget CR'!B55,Table13[Montant])</f>
        <v>0</v>
      </c>
      <c r="D55" s="160">
        <f>-SUMIF('Liste prévisionnel'!M:M,'Budget CR'!B55,'Liste prévisionnel'!E:E)</f>
        <v>1757.6</v>
      </c>
      <c r="E55" s="762">
        <f t="shared" si="8"/>
        <v>0</v>
      </c>
      <c r="F55" s="953"/>
      <c r="G55" s="172"/>
      <c r="H55" s="177"/>
      <c r="I55" s="177"/>
    </row>
    <row r="56" spans="1:10" ht="13.5" thickBot="1" x14ac:dyDescent="0.25">
      <c r="A56" s="8">
        <v>66</v>
      </c>
      <c r="B56" s="9" t="s">
        <v>154</v>
      </c>
      <c r="C56" s="156">
        <f>SUM(C57:C57)</f>
        <v>0</v>
      </c>
      <c r="D56" s="156">
        <f>SUM(D57:D57)</f>
        <v>0</v>
      </c>
      <c r="E56" s="156"/>
      <c r="F56" s="100">
        <v>76</v>
      </c>
      <c r="G56" s="9" t="s">
        <v>79</v>
      </c>
      <c r="H56" s="157">
        <f>SUM(H57)</f>
        <v>0</v>
      </c>
      <c r="I56" s="157">
        <f>SUM(I57)</f>
        <v>0</v>
      </c>
    </row>
    <row r="57" spans="1:10" ht="13.5" thickBot="1" x14ac:dyDescent="0.25">
      <c r="A57" s="47">
        <v>6600000</v>
      </c>
      <c r="B57" s="963" t="s">
        <v>154</v>
      </c>
      <c r="C57" s="167">
        <f>-SUMIF(Table13[Type],'Budget CR'!B57,Table13[Montant])</f>
        <v>0</v>
      </c>
      <c r="D57" s="160">
        <f>-SUMIF('Liste prévisionnel'!M:M,'Budget CR'!B57,'Liste prévisionnel'!E:E)</f>
        <v>0</v>
      </c>
      <c r="E57" s="167"/>
      <c r="F57" s="103">
        <v>7600000</v>
      </c>
      <c r="G57" s="963" t="s">
        <v>79</v>
      </c>
      <c r="H57" s="163">
        <f>SUM(PRODUITS!C34:X34)</f>
        <v>0</v>
      </c>
      <c r="I57" s="163">
        <f>SUMIF('Liste prévisionnel'!M:M,'Budget CR'!G57,'Liste prévisionnel'!E:E)</f>
        <v>0</v>
      </c>
      <c r="J57" s="762">
        <f t="shared" ref="J57" si="10">IF(H57=0,0,I57/H57)</f>
        <v>0</v>
      </c>
    </row>
    <row r="58" spans="1:10" ht="13.5" thickBot="1" x14ac:dyDescent="0.25">
      <c r="A58" s="8">
        <v>67</v>
      </c>
      <c r="B58" s="9" t="s">
        <v>155</v>
      </c>
      <c r="C58" s="156">
        <f>SUM(C59:C61)</f>
        <v>0</v>
      </c>
      <c r="D58" s="156">
        <f>SUM(D59:D61)</f>
        <v>0</v>
      </c>
      <c r="E58" s="156"/>
      <c r="F58" s="100">
        <v>77</v>
      </c>
      <c r="G58" s="9" t="s">
        <v>80</v>
      </c>
      <c r="H58" s="157">
        <f>SUM(H59:H63)</f>
        <v>0</v>
      </c>
      <c r="I58" s="157">
        <f>SUM(I59:I63)</f>
        <v>0</v>
      </c>
    </row>
    <row r="59" spans="1:10" x14ac:dyDescent="0.2">
      <c r="A59" s="24">
        <v>6712000</v>
      </c>
      <c r="B59" s="25" t="s">
        <v>156</v>
      </c>
      <c r="C59" s="158">
        <f>-SUMIF(Table13[Type],'Budget CR'!B59,Table13[Montant])</f>
        <v>0</v>
      </c>
      <c r="D59" s="160">
        <f>-SUMIF('Liste prévisionnel'!M:M,'Budget CR'!B59,'Liste prévisionnel'!E:E)</f>
        <v>0</v>
      </c>
      <c r="E59" s="758"/>
      <c r="F59" s="108">
        <v>7718000</v>
      </c>
      <c r="G59" s="25" t="s">
        <v>80</v>
      </c>
      <c r="H59" s="163">
        <f>-SUMIF(Table13[Type],'Budget CR'!G59,Table13[Montant])</f>
        <v>0</v>
      </c>
      <c r="I59" s="163">
        <f>SUMIF('Liste prévisionnel'!M:M,'Budget CR'!G59,'Liste prévisionnel'!E:E)</f>
        <v>0</v>
      </c>
      <c r="J59" s="762">
        <f t="shared" ref="J59:J63" si="11">IF(H59=0,0,I59/H59)</f>
        <v>0</v>
      </c>
    </row>
    <row r="60" spans="1:10" x14ac:dyDescent="0.2">
      <c r="A60" s="47">
        <v>6718000</v>
      </c>
      <c r="B60" s="963" t="s">
        <v>157</v>
      </c>
      <c r="C60" s="167">
        <f>-SUMIF(Table13[Type],'Budget CR'!B60,Table13[Montant])</f>
        <v>0</v>
      </c>
      <c r="D60" s="160">
        <f>-SUMIF('Liste prévisionnel'!M:M,'Budget CR'!B60,'Liste prévisionnel'!E:E)</f>
        <v>0</v>
      </c>
      <c r="E60" s="758"/>
      <c r="F60" s="951">
        <v>7720000</v>
      </c>
      <c r="G60" s="952" t="s">
        <v>81</v>
      </c>
      <c r="H60" s="178">
        <f>-SUMIF(Table13[Type],'Budget CR'!G60,Table13[Montant])</f>
        <v>0</v>
      </c>
      <c r="I60" s="178">
        <f>SUMIF('Liste prévisionnel'!M:M,'Budget CR'!G60,'Liste prévisionnel'!E:E)</f>
        <v>0</v>
      </c>
      <c r="J60" s="762">
        <f t="shared" si="11"/>
        <v>0</v>
      </c>
    </row>
    <row r="61" spans="1:10" ht="13.5" thickBot="1" x14ac:dyDescent="0.25">
      <c r="A61" s="989">
        <v>6750000</v>
      </c>
      <c r="B61" s="990" t="s">
        <v>158</v>
      </c>
      <c r="C61" s="1020">
        <f>-SUMIF(Table13[Type],'Budget CR'!B61,Table13[Montant])</f>
        <v>0</v>
      </c>
      <c r="D61" s="160">
        <f>-SUMIF('Liste prévisionnel'!M:M,'Budget CR'!B61,'Liste prévisionnel'!E:E)</f>
        <v>0</v>
      </c>
      <c r="E61" s="160"/>
      <c r="F61" s="953">
        <v>7750000</v>
      </c>
      <c r="G61" s="912" t="s">
        <v>82</v>
      </c>
      <c r="H61" s="178">
        <f>-SUMIF(Table13[Type],'Budget CR'!G61,Table13[Montant])</f>
        <v>0</v>
      </c>
      <c r="I61" s="178">
        <f>SUMIF('Liste prévisionnel'!M:M,'Budget CR'!G61,'Liste prévisionnel'!E:E)</f>
        <v>0</v>
      </c>
      <c r="J61" s="762">
        <f t="shared" si="11"/>
        <v>0</v>
      </c>
    </row>
    <row r="62" spans="1:10" ht="13.5" thickBot="1" x14ac:dyDescent="0.25">
      <c r="A62" s="8">
        <v>68</v>
      </c>
      <c r="B62" s="9" t="s">
        <v>159</v>
      </c>
      <c r="C62" s="156">
        <f>SUM(C63:C64)</f>
        <v>0</v>
      </c>
      <c r="D62" s="156">
        <f>SUM(D63:D64)</f>
        <v>0</v>
      </c>
      <c r="E62" s="759"/>
      <c r="F62" s="953">
        <v>7770000</v>
      </c>
      <c r="G62" s="912" t="s">
        <v>83</v>
      </c>
      <c r="H62" s="164">
        <f>-SUMIF(Table13[Type],'Budget CR'!G62,Table13[Montant])</f>
        <v>0</v>
      </c>
      <c r="I62" s="178">
        <f>SUMIF('Liste prévisionnel'!M:M,'Budget CR'!G62,'Liste prévisionnel'!E:E)</f>
        <v>0</v>
      </c>
      <c r="J62" s="762">
        <f t="shared" si="11"/>
        <v>0</v>
      </c>
    </row>
    <row r="63" spans="1:10" ht="13.5" thickBot="1" x14ac:dyDescent="0.25">
      <c r="A63" s="24">
        <v>6810000</v>
      </c>
      <c r="B63" s="25" t="s">
        <v>160</v>
      </c>
      <c r="C63" s="158">
        <f>-SUMIF(Table13[Type],'Budget CR'!B63,Table13[Montant])</f>
        <v>0</v>
      </c>
      <c r="D63" s="160">
        <f>-SUMIF('Liste prévisionnel'!M:M,'Budget CR'!B63,'Liste prévisionnel'!E:E)</f>
        <v>0</v>
      </c>
      <c r="E63" s="176"/>
      <c r="F63" s="973">
        <v>7815000</v>
      </c>
      <c r="G63" s="1021" t="s">
        <v>84</v>
      </c>
      <c r="H63" s="164">
        <f>-SUMIF(Table13[Type],'Budget CR'!G63,Table13[Montant])</f>
        <v>0</v>
      </c>
      <c r="I63" s="178">
        <f>SUMIF('Liste prévisionnel'!M:M,'Budget CR'!G63,'Liste prévisionnel'!E:E)</f>
        <v>0</v>
      </c>
      <c r="J63" s="762">
        <f t="shared" si="11"/>
        <v>0</v>
      </c>
    </row>
    <row r="64" spans="1:10" ht="13.5" thickBot="1" x14ac:dyDescent="0.25">
      <c r="A64" s="989">
        <v>6815000</v>
      </c>
      <c r="B64" s="990" t="s">
        <v>161</v>
      </c>
      <c r="C64" s="1020">
        <f>-SUMIF(Table13[Type],'Budget CR'!B64,Table13[Montant])</f>
        <v>0</v>
      </c>
      <c r="D64" s="160">
        <f>-SUMIF('Liste prévisionnel'!M:M,'Budget CR'!B64,'Liste prévisionnel'!E:E)</f>
        <v>0</v>
      </c>
      <c r="E64" s="167"/>
      <c r="F64" s="8">
        <v>7910000</v>
      </c>
      <c r="G64" s="9" t="s">
        <v>85</v>
      </c>
      <c r="H64" s="179">
        <f>SUM(PRODUITS!C41:X41)</f>
        <v>0</v>
      </c>
      <c r="I64" s="179">
        <f>SUM(PRODUITS!Z41:AU41)</f>
        <v>0</v>
      </c>
    </row>
    <row r="65" spans="1:9" ht="13.5" thickBot="1" x14ac:dyDescent="0.25">
      <c r="A65" s="180"/>
      <c r="B65" s="9" t="s">
        <v>162</v>
      </c>
      <c r="C65" s="156">
        <f>C9+C21+C32+C41+C43+C47+C56+C58+C62</f>
        <v>43816.020000000004</v>
      </c>
      <c r="D65" s="156">
        <f>D9+D21+D32+D41+D43+D47+D56+D58+D62</f>
        <v>70570.009999999995</v>
      </c>
      <c r="E65" s="156"/>
      <c r="F65" s="123"/>
      <c r="G65" s="9" t="s">
        <v>86</v>
      </c>
      <c r="H65" s="181">
        <f>H9+H21+H47+H56+H58+H64</f>
        <v>34242.97</v>
      </c>
      <c r="I65" s="181">
        <f>I9+I21+I47+I56+I58+I64</f>
        <v>74230</v>
      </c>
    </row>
    <row r="66" spans="1:9" ht="13.5" thickBot="1" x14ac:dyDescent="0.25">
      <c r="A66" s="75"/>
      <c r="B66" s="75"/>
      <c r="C66" s="75"/>
      <c r="D66" s="75"/>
      <c r="E66" s="75"/>
      <c r="F66" s="75"/>
      <c r="G66" s="75"/>
      <c r="H66" s="75"/>
      <c r="I66" s="75"/>
    </row>
    <row r="67" spans="1:9" ht="13.5" thickBot="1" x14ac:dyDescent="0.25">
      <c r="A67" s="8">
        <v>86</v>
      </c>
      <c r="B67" s="9" t="s">
        <v>316</v>
      </c>
      <c r="C67" s="174">
        <f>C68</f>
        <v>0</v>
      </c>
      <c r="D67" s="174">
        <f>D68</f>
        <v>0</v>
      </c>
      <c r="E67" s="156"/>
      <c r="F67" s="100">
        <v>87</v>
      </c>
      <c r="G67" s="182" t="s">
        <v>317</v>
      </c>
      <c r="H67" s="174">
        <f>H68</f>
        <v>0</v>
      </c>
      <c r="I67" s="174">
        <f>I68</f>
        <v>0</v>
      </c>
    </row>
    <row r="68" spans="1:9" ht="9.9499999999999993" customHeight="1" thickBot="1" x14ac:dyDescent="0.25">
      <c r="A68" s="183">
        <v>864</v>
      </c>
      <c r="B68" s="184" t="s">
        <v>318</v>
      </c>
      <c r="C68" s="185"/>
      <c r="D68" s="185"/>
      <c r="E68" s="761"/>
      <c r="F68" s="183">
        <v>870</v>
      </c>
      <c r="G68" s="184" t="s">
        <v>318</v>
      </c>
      <c r="H68" s="185"/>
      <c r="I68" s="185"/>
    </row>
    <row r="69" spans="1:9" ht="13.5" thickBot="1" x14ac:dyDescent="0.25">
      <c r="A69" s="75"/>
      <c r="B69" s="75"/>
      <c r="C69" s="75"/>
      <c r="D69" s="75"/>
      <c r="E69" s="75"/>
      <c r="F69" s="75"/>
      <c r="G69" s="75"/>
      <c r="H69" s="186"/>
      <c r="I69" s="186"/>
    </row>
    <row r="70" spans="1:9" ht="13.5" thickBot="1" x14ac:dyDescent="0.25">
      <c r="A70" s="8"/>
      <c r="B70" s="9" t="s">
        <v>3</v>
      </c>
      <c r="C70" s="174">
        <f>C65+C67</f>
        <v>43816.020000000004</v>
      </c>
      <c r="D70" s="174">
        <f>D65+D67</f>
        <v>70570.009999999995</v>
      </c>
      <c r="E70" s="156"/>
      <c r="F70" s="8"/>
      <c r="G70" s="182" t="s">
        <v>3</v>
      </c>
      <c r="H70" s="174">
        <f>H65+H67</f>
        <v>34242.97</v>
      </c>
      <c r="I70" s="174">
        <f>I65+I67</f>
        <v>74230</v>
      </c>
    </row>
    <row r="71" spans="1:9" ht="9.9499999999999993" customHeight="1" thickBot="1" x14ac:dyDescent="0.25">
      <c r="A71" s="75"/>
      <c r="B71" s="7"/>
      <c r="C71" s="187"/>
      <c r="D71" s="187"/>
      <c r="E71" s="187"/>
      <c r="F71" s="7"/>
      <c r="G71" s="7"/>
      <c r="H71" s="187"/>
      <c r="I71" s="187"/>
    </row>
    <row r="72" spans="1:9" ht="13.5" thickBot="1" x14ac:dyDescent="0.25">
      <c r="A72" s="7"/>
      <c r="B72" s="8" t="s">
        <v>319</v>
      </c>
      <c r="C72" s="174">
        <f>IF(H70&gt;C70,H70-C70,0)</f>
        <v>0</v>
      </c>
      <c r="D72" s="174">
        <f>IF(I70&gt;D70,I70-D70,0)</f>
        <v>3659.9900000000052</v>
      </c>
      <c r="E72" s="188"/>
      <c r="F72" s="7"/>
      <c r="G72" s="8" t="s">
        <v>320</v>
      </c>
      <c r="H72" s="174">
        <f>IF(H70&lt;C70,C70-H70,0)</f>
        <v>9573.0500000000029</v>
      </c>
      <c r="I72" s="174">
        <f>IF(I70&lt;D70,D70-I70,0)</f>
        <v>0</v>
      </c>
    </row>
    <row r="73" spans="1:9" ht="9.9499999999999993" customHeight="1" thickBot="1" x14ac:dyDescent="0.25">
      <c r="A73" s="7"/>
      <c r="B73" s="7"/>
      <c r="C73" s="188"/>
      <c r="D73" s="188"/>
      <c r="E73" s="188"/>
      <c r="F73" s="7"/>
      <c r="G73" s="7"/>
      <c r="H73" s="188"/>
      <c r="I73" s="188"/>
    </row>
    <row r="74" spans="1:9" ht="13.5" thickBot="1" x14ac:dyDescent="0.25">
      <c r="A74" s="7"/>
      <c r="B74" s="8" t="s">
        <v>321</v>
      </c>
      <c r="C74" s="174">
        <f>C70+C72</f>
        <v>43816.020000000004</v>
      </c>
      <c r="D74" s="174">
        <f>D70+D72</f>
        <v>74230</v>
      </c>
      <c r="E74" s="188"/>
      <c r="F74" s="75"/>
      <c r="G74" s="8" t="s">
        <v>321</v>
      </c>
      <c r="H74" s="174">
        <f>H70+H72</f>
        <v>43816.020000000004</v>
      </c>
      <c r="I74" s="174">
        <f>I70+I72</f>
        <v>74230</v>
      </c>
    </row>
    <row r="75" spans="1:9" ht="9.9499999999999993" customHeight="1" x14ac:dyDescent="0.2"/>
    <row r="76" spans="1:9" x14ac:dyDescent="0.2">
      <c r="G76" s="146" t="s">
        <v>322</v>
      </c>
      <c r="I76" s="1214">
        <f>'Liste prévisionnel'!M1</f>
        <v>5109</v>
      </c>
    </row>
    <row r="77" spans="1:9" x14ac:dyDescent="0.2">
      <c r="G77" s="146" t="s">
        <v>323</v>
      </c>
      <c r="I77" s="1214">
        <f>D72+D55-I76</f>
        <v>308.5900000000056</v>
      </c>
    </row>
  </sheetData>
  <sheetProtection algorithmName="SHA-512" hashValue="5f1lsoAiY6sjYjkpF3iQCKlGAV6A+jP4aSJ5V/5L+GL6a7HS+ufl+ssvCWB2D/Lg/JdAPbrUm4QoaxemstDcpQ==" saltValue="ijgOjH3IVAiHDI9ORzLh9Q==" spinCount="100000" sheet="1" objects="1" scenarios="1"/>
  <mergeCells count="9">
    <mergeCell ref="C7:C8"/>
    <mergeCell ref="H7:H8"/>
    <mergeCell ref="I7:I8"/>
    <mergeCell ref="D7:D8"/>
    <mergeCell ref="A2:H2"/>
    <mergeCell ref="A3:H3"/>
    <mergeCell ref="A4:H4"/>
    <mergeCell ref="A5:H5"/>
    <mergeCell ref="A6:H6"/>
  </mergeCells>
  <pageMargins left="0.51180555555555496" right="0.51180555555555496" top="0.55138888888888904" bottom="0.35416666666666702" header="0.51180555555555496" footer="0.51180555555555496"/>
  <pageSetup paperSize="9" scale="75" firstPageNumber="0" orientation="portrait" horizontalDpi="300" verticalDpi="300" r:id="rId1"/>
  <headerFooter>
    <oddFooter>&amp;C&amp;1#&amp;"Calibri"&amp;10&amp;K000000Usage Interne / Internal Use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defaultColWidth="9.140625" defaultRowHeight="15" x14ac:dyDescent="0.25"/>
  <cols>
    <col min="1" max="1" width="18.42578125" style="699" bestFit="1" customWidth="1"/>
    <col min="2" max="2" width="15.42578125" style="699" bestFit="1" customWidth="1"/>
    <col min="3" max="7" width="9.140625" style="699"/>
    <col min="8" max="8" width="15.85546875" style="699" customWidth="1"/>
    <col min="9" max="9" width="15.42578125" style="699" bestFit="1" customWidth="1"/>
    <col min="10" max="16384" width="9.140625" style="699"/>
  </cols>
  <sheetData>
    <row r="1" spans="1:9" x14ac:dyDescent="0.25">
      <c r="A1" s="708" t="s">
        <v>324</v>
      </c>
      <c r="B1" s="707">
        <v>2024</v>
      </c>
      <c r="H1" s="699" t="s">
        <v>325</v>
      </c>
    </row>
    <row r="3" spans="1:9" x14ac:dyDescent="0.25">
      <c r="A3" s="708" t="s">
        <v>326</v>
      </c>
      <c r="B3" s="699" t="s">
        <v>327</v>
      </c>
      <c r="H3" s="708" t="s">
        <v>324</v>
      </c>
      <c r="I3" s="707">
        <v>2024</v>
      </c>
    </row>
    <row r="4" spans="1:9" x14ac:dyDescent="0.25">
      <c r="A4" s="707" t="s">
        <v>328</v>
      </c>
      <c r="B4" s="706">
        <v>1114.01</v>
      </c>
      <c r="H4" s="708" t="s">
        <v>329</v>
      </c>
      <c r="I4" s="699" t="s">
        <v>330</v>
      </c>
    </row>
    <row r="5" spans="1:9" x14ac:dyDescent="0.25">
      <c r="A5" s="707" t="s">
        <v>331</v>
      </c>
      <c r="B5" s="706">
        <v>2185.4500000000003</v>
      </c>
    </row>
    <row r="6" spans="1:9" x14ac:dyDescent="0.25">
      <c r="A6" s="707" t="s">
        <v>332</v>
      </c>
      <c r="B6" s="706">
        <v>4227.3200000000006</v>
      </c>
      <c r="H6" s="708" t="s">
        <v>326</v>
      </c>
      <c r="I6" s="699" t="s">
        <v>327</v>
      </c>
    </row>
    <row r="7" spans="1:9" x14ac:dyDescent="0.25">
      <c r="A7" s="707" t="s">
        <v>333</v>
      </c>
      <c r="B7" s="706">
        <v>-337.45</v>
      </c>
      <c r="H7" s="707" t="s">
        <v>332</v>
      </c>
      <c r="I7" s="706">
        <v>208.32</v>
      </c>
    </row>
    <row r="8" spans="1:9" x14ac:dyDescent="0.25">
      <c r="A8" s="707" t="s">
        <v>334</v>
      </c>
      <c r="B8" s="706">
        <v>-20.049999999999898</v>
      </c>
      <c r="H8" s="707" t="s">
        <v>333</v>
      </c>
      <c r="I8" s="706">
        <v>-337.45</v>
      </c>
    </row>
    <row r="9" spans="1:9" x14ac:dyDescent="0.25">
      <c r="A9" s="707" t="s">
        <v>335</v>
      </c>
      <c r="B9" s="706">
        <v>-5.9999999999999982</v>
      </c>
      <c r="H9" s="707" t="s">
        <v>334</v>
      </c>
      <c r="I9" s="706">
        <v>-20.049999999999841</v>
      </c>
    </row>
    <row r="10" spans="1:9" x14ac:dyDescent="0.25">
      <c r="A10" s="707" t="s">
        <v>336</v>
      </c>
      <c r="B10" s="706">
        <v>560</v>
      </c>
      <c r="H10" s="707" t="s">
        <v>335</v>
      </c>
      <c r="I10" s="706">
        <v>-6</v>
      </c>
    </row>
    <row r="11" spans="1:9" x14ac:dyDescent="0.25">
      <c r="A11" s="707" t="s">
        <v>337</v>
      </c>
      <c r="B11" s="706">
        <v>-174</v>
      </c>
      <c r="H11" s="707" t="s">
        <v>336</v>
      </c>
      <c r="I11" s="706">
        <v>560</v>
      </c>
    </row>
    <row r="12" spans="1:9" x14ac:dyDescent="0.25">
      <c r="A12" s="707" t="s">
        <v>338</v>
      </c>
      <c r="B12" s="706">
        <v>-1926.5000000000005</v>
      </c>
      <c r="H12" s="707" t="s">
        <v>337</v>
      </c>
      <c r="I12" s="706">
        <v>-174</v>
      </c>
    </row>
    <row r="13" spans="1:9" x14ac:dyDescent="0.25">
      <c r="A13" s="707" t="s">
        <v>339</v>
      </c>
      <c r="B13" s="706">
        <v>-167.03</v>
      </c>
      <c r="H13" s="707" t="s">
        <v>338</v>
      </c>
      <c r="I13" s="706">
        <v>-1926.5000000000002</v>
      </c>
    </row>
    <row r="14" spans="1:9" x14ac:dyDescent="0.25">
      <c r="A14" s="707" t="s">
        <v>340</v>
      </c>
      <c r="B14" s="706">
        <v>-1449.23</v>
      </c>
      <c r="H14" s="707" t="s">
        <v>339</v>
      </c>
      <c r="I14" s="706">
        <v>-167.03</v>
      </c>
    </row>
    <row r="15" spans="1:9" x14ac:dyDescent="0.25">
      <c r="A15" s="707" t="s">
        <v>341</v>
      </c>
      <c r="B15" s="706">
        <v>4006.5200000000009</v>
      </c>
      <c r="H15" s="707" t="s">
        <v>340</v>
      </c>
      <c r="I15" s="706">
        <v>-1449.23</v>
      </c>
    </row>
    <row r="16" spans="1:9" x14ac:dyDescent="0.25">
      <c r="H16" s="707" t="s">
        <v>341</v>
      </c>
      <c r="I16" s="706">
        <v>-3311.94</v>
      </c>
    </row>
  </sheetData>
  <pageMargins left="0.7" right="0.7" top="0.75" bottom="0.75" header="0.3" footer="0.3"/>
  <pageSetup paperSize="9" orientation="portrait" r:id="rId3"/>
  <headerFooter>
    <oddFooter>&amp;C&amp;1#&amp;"Calibri"&amp;10&amp;K000000Usage Interne / Internal Use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318A-122F-4DA3-AD70-AD829492984F}">
  <sheetPr>
    <tabColor theme="8" tint="0.39997558519241921"/>
  </sheetPr>
  <dimension ref="A1:P290"/>
  <sheetViews>
    <sheetView zoomScale="113" workbookViewId="0">
      <selection activeCell="D5" sqref="D5"/>
    </sheetView>
  </sheetViews>
  <sheetFormatPr defaultColWidth="9.140625" defaultRowHeight="15" x14ac:dyDescent="0.25"/>
  <cols>
    <col min="1" max="1" width="9.140625" style="699"/>
    <col min="2" max="2" width="0" style="699" hidden="1" customWidth="1"/>
    <col min="3" max="3" width="9.140625" style="699"/>
    <col min="4" max="4" width="22.85546875" style="699" bestFit="1" customWidth="1"/>
    <col min="5" max="5" width="14.85546875" style="586" customWidth="1"/>
    <col min="6" max="6" width="21.28515625" style="699" customWidth="1"/>
    <col min="7" max="7" width="26" style="699" customWidth="1"/>
    <col min="8" max="8" width="11.42578125" style="699" customWidth="1"/>
    <col min="9" max="9" width="21.7109375" style="699" bestFit="1" customWidth="1"/>
    <col min="10" max="10" width="28.5703125" style="699" customWidth="1"/>
    <col min="11" max="11" width="23.28515625" style="699" customWidth="1"/>
    <col min="12" max="12" width="12.5703125" style="699" bestFit="1" customWidth="1"/>
    <col min="13" max="13" width="10.7109375" style="699" bestFit="1" customWidth="1"/>
    <col min="14" max="16384" width="9.140625" style="699"/>
  </cols>
  <sheetData>
    <row r="1" spans="1:16" x14ac:dyDescent="0.25">
      <c r="F1" s="874" t="s">
        <v>342</v>
      </c>
      <c r="G1" s="586">
        <f>SUMIF(A:A,"2024",E:E)</f>
        <v>0</v>
      </c>
      <c r="I1" s="874" t="s">
        <v>19</v>
      </c>
      <c r="J1" s="586">
        <f>SUBTOTAL(109,E:E)</f>
        <v>0</v>
      </c>
      <c r="L1" s="699" t="s">
        <v>343</v>
      </c>
      <c r="M1" s="1121">
        <f>SUMIF(M3:M2740,N1,E3:E2740)/10</f>
        <v>0</v>
      </c>
      <c r="N1" s="1120" t="s">
        <v>53</v>
      </c>
    </row>
    <row r="2" spans="1:16" x14ac:dyDescent="0.25">
      <c r="A2" s="699" t="s">
        <v>324</v>
      </c>
      <c r="B2" s="874" t="s">
        <v>344</v>
      </c>
      <c r="C2" s="699" t="s">
        <v>345</v>
      </c>
      <c r="D2" s="699" t="s">
        <v>346</v>
      </c>
      <c r="E2" s="586" t="s">
        <v>347</v>
      </c>
      <c r="F2" s="699" t="s">
        <v>348</v>
      </c>
      <c r="G2" s="874" t="s">
        <v>349</v>
      </c>
      <c r="H2" s="879" t="s">
        <v>350</v>
      </c>
      <c r="I2" s="874" t="s">
        <v>351</v>
      </c>
      <c r="J2" s="699" t="s">
        <v>352</v>
      </c>
      <c r="K2" s="699" t="s">
        <v>353</v>
      </c>
      <c r="L2" s="699" t="s">
        <v>329</v>
      </c>
      <c r="M2" s="699" t="s">
        <v>354</v>
      </c>
      <c r="N2" s="874" t="s">
        <v>355</v>
      </c>
      <c r="O2" s="874" t="s">
        <v>356</v>
      </c>
      <c r="P2" s="699" t="s">
        <v>357</v>
      </c>
    </row>
    <row r="3" spans="1:16" x14ac:dyDescent="0.25">
      <c r="A3" s="803"/>
      <c r="C3" s="704"/>
      <c r="H3" s="879"/>
      <c r="I3" s="874"/>
    </row>
    <row r="4" spans="1:16" x14ac:dyDescent="0.25">
      <c r="C4" s="704"/>
      <c r="H4" s="879"/>
      <c r="I4" s="874"/>
      <c r="J4" s="874"/>
    </row>
    <row r="5" spans="1:16" x14ac:dyDescent="0.25">
      <c r="B5" s="874"/>
      <c r="C5" s="704"/>
      <c r="H5" s="879"/>
      <c r="I5" s="874"/>
      <c r="J5" s="874"/>
    </row>
    <row r="6" spans="1:16" x14ac:dyDescent="0.25">
      <c r="C6" s="704"/>
      <c r="H6" s="879"/>
      <c r="I6" s="874"/>
      <c r="J6" s="874"/>
    </row>
    <row r="7" spans="1:16" x14ac:dyDescent="0.25">
      <c r="C7" s="704"/>
      <c r="G7" s="874"/>
      <c r="H7" s="879"/>
      <c r="I7" s="874"/>
    </row>
    <row r="8" spans="1:16" x14ac:dyDescent="0.25">
      <c r="C8" s="704"/>
      <c r="H8" s="879"/>
      <c r="I8" s="874"/>
      <c r="J8" s="874"/>
    </row>
    <row r="9" spans="1:16" x14ac:dyDescent="0.25">
      <c r="C9" s="704"/>
      <c r="H9" s="879"/>
      <c r="I9" s="874"/>
      <c r="J9" s="874"/>
      <c r="L9" s="874"/>
    </row>
    <row r="10" spans="1:16" x14ac:dyDescent="0.25">
      <c r="C10" s="704"/>
      <c r="H10" s="879"/>
      <c r="I10" s="874"/>
    </row>
    <row r="11" spans="1:16" x14ac:dyDescent="0.25">
      <c r="C11" s="704"/>
      <c r="H11" s="879"/>
      <c r="I11" s="874"/>
      <c r="J11" s="874"/>
    </row>
    <row r="12" spans="1:16" x14ac:dyDescent="0.25">
      <c r="C12" s="704"/>
      <c r="G12" s="874"/>
      <c r="H12" s="879"/>
      <c r="I12" s="874"/>
    </row>
    <row r="13" spans="1:16" x14ac:dyDescent="0.25">
      <c r="C13" s="704"/>
      <c r="H13" s="879"/>
      <c r="I13" s="874"/>
    </row>
    <row r="14" spans="1:16" x14ac:dyDescent="0.25">
      <c r="C14" s="704"/>
      <c r="H14" s="879"/>
      <c r="I14" s="874"/>
    </row>
    <row r="15" spans="1:16" x14ac:dyDescent="0.25">
      <c r="C15" s="704"/>
      <c r="H15" s="879"/>
      <c r="I15" s="874"/>
    </row>
    <row r="16" spans="1:16" x14ac:dyDescent="0.25">
      <c r="C16" s="704"/>
      <c r="H16" s="879"/>
      <c r="I16" s="874"/>
      <c r="J16" s="874"/>
    </row>
    <row r="17" spans="3:12" x14ac:dyDescent="0.25">
      <c r="C17" s="704"/>
      <c r="H17" s="879"/>
      <c r="I17" s="874"/>
    </row>
    <row r="18" spans="3:12" x14ac:dyDescent="0.25">
      <c r="C18" s="704"/>
      <c r="H18" s="879"/>
      <c r="I18" s="874"/>
    </row>
    <row r="19" spans="3:12" x14ac:dyDescent="0.25">
      <c r="C19" s="704"/>
      <c r="H19" s="879"/>
      <c r="I19" s="874"/>
    </row>
    <row r="20" spans="3:12" x14ac:dyDescent="0.25">
      <c r="C20" s="704"/>
      <c r="H20" s="879"/>
      <c r="I20" s="874"/>
      <c r="K20" s="874"/>
    </row>
    <row r="21" spans="3:12" x14ac:dyDescent="0.25">
      <c r="C21" s="704"/>
      <c r="G21" s="874"/>
      <c r="H21" s="879"/>
      <c r="I21" s="874"/>
      <c r="K21" s="874"/>
    </row>
    <row r="22" spans="3:12" x14ac:dyDescent="0.25">
      <c r="C22" s="704"/>
      <c r="H22" s="879"/>
      <c r="I22" s="874"/>
    </row>
    <row r="23" spans="3:12" x14ac:dyDescent="0.25">
      <c r="C23" s="704"/>
      <c r="H23" s="879"/>
      <c r="I23" s="874"/>
    </row>
    <row r="24" spans="3:12" x14ac:dyDescent="0.25">
      <c r="C24" s="704"/>
      <c r="F24" s="874"/>
      <c r="H24" s="879"/>
      <c r="I24" s="874"/>
      <c r="J24" s="874"/>
      <c r="K24" s="874"/>
    </row>
    <row r="25" spans="3:12" x14ac:dyDescent="0.25">
      <c r="C25" s="704"/>
      <c r="F25" s="874"/>
      <c r="H25" s="879"/>
      <c r="I25" s="874"/>
      <c r="J25" s="874"/>
    </row>
    <row r="26" spans="3:12" x14ac:dyDescent="0.25">
      <c r="C26" s="704"/>
      <c r="H26" s="879"/>
      <c r="I26" s="874"/>
      <c r="J26" s="874"/>
    </row>
    <row r="27" spans="3:12" x14ac:dyDescent="0.25">
      <c r="C27" s="704"/>
      <c r="H27" s="879"/>
      <c r="I27" s="874"/>
    </row>
    <row r="28" spans="3:12" x14ac:dyDescent="0.25">
      <c r="C28" s="704"/>
      <c r="H28" s="879"/>
      <c r="I28" s="874"/>
    </row>
    <row r="29" spans="3:12" x14ac:dyDescent="0.25">
      <c r="C29" s="704"/>
      <c r="G29" s="874"/>
      <c r="H29" s="879"/>
      <c r="I29" s="874"/>
    </row>
    <row r="30" spans="3:12" x14ac:dyDescent="0.25">
      <c r="C30" s="704"/>
      <c r="H30" s="879"/>
      <c r="I30" s="874"/>
    </row>
    <row r="31" spans="3:12" x14ac:dyDescent="0.25">
      <c r="C31" s="704"/>
      <c r="H31" s="879"/>
      <c r="I31" s="874"/>
      <c r="J31" s="874"/>
      <c r="L31" s="874"/>
    </row>
    <row r="32" spans="3:12" x14ac:dyDescent="0.25">
      <c r="C32" s="704"/>
      <c r="F32" s="874"/>
      <c r="G32" s="874"/>
      <c r="H32" s="879"/>
      <c r="I32" s="874"/>
      <c r="J32" s="874"/>
      <c r="L32" s="874"/>
    </row>
    <row r="33" spans="3:15" x14ac:dyDescent="0.25">
      <c r="C33" s="704"/>
      <c r="H33" s="879"/>
      <c r="I33" s="874"/>
      <c r="J33" s="874"/>
    </row>
    <row r="34" spans="3:15" x14ac:dyDescent="0.25">
      <c r="C34" s="704"/>
      <c r="F34" s="874"/>
      <c r="G34" s="874"/>
      <c r="H34" s="879"/>
      <c r="I34" s="874"/>
      <c r="J34" s="874"/>
      <c r="L34" s="874"/>
      <c r="M34" s="710"/>
      <c r="N34" s="710"/>
      <c r="O34" s="710"/>
    </row>
    <row r="35" spans="3:15" x14ac:dyDescent="0.25">
      <c r="C35" s="704"/>
      <c r="G35" s="874"/>
      <c r="H35" s="879"/>
      <c r="I35" s="874"/>
    </row>
    <row r="36" spans="3:15" x14ac:dyDescent="0.25">
      <c r="C36" s="704"/>
      <c r="H36" s="879"/>
      <c r="I36" s="874"/>
    </row>
    <row r="37" spans="3:15" x14ac:dyDescent="0.25">
      <c r="C37" s="704"/>
      <c r="H37" s="879"/>
      <c r="I37" s="874"/>
    </row>
    <row r="38" spans="3:15" x14ac:dyDescent="0.25">
      <c r="C38" s="704"/>
      <c r="H38" s="879"/>
      <c r="I38" s="874"/>
    </row>
    <row r="39" spans="3:15" x14ac:dyDescent="0.25">
      <c r="C39" s="704"/>
      <c r="H39" s="879"/>
      <c r="I39" s="874"/>
    </row>
    <row r="40" spans="3:15" x14ac:dyDescent="0.25">
      <c r="C40" s="704"/>
      <c r="H40" s="879"/>
      <c r="I40" s="874"/>
    </row>
    <row r="41" spans="3:15" x14ac:dyDescent="0.25">
      <c r="C41" s="704"/>
      <c r="H41" s="879"/>
      <c r="I41" s="874"/>
    </row>
    <row r="42" spans="3:15" x14ac:dyDescent="0.25">
      <c r="C42" s="704"/>
      <c r="H42" s="879"/>
      <c r="I42" s="874"/>
    </row>
    <row r="43" spans="3:15" x14ac:dyDescent="0.25">
      <c r="C43" s="704"/>
      <c r="H43" s="879"/>
      <c r="I43" s="874"/>
    </row>
    <row r="44" spans="3:15" x14ac:dyDescent="0.25">
      <c r="C44" s="704"/>
      <c r="H44" s="879"/>
      <c r="I44" s="874"/>
    </row>
    <row r="45" spans="3:15" x14ac:dyDescent="0.25">
      <c r="C45" s="704"/>
      <c r="H45" s="879"/>
      <c r="I45" s="874"/>
    </row>
    <row r="46" spans="3:15" x14ac:dyDescent="0.25">
      <c r="C46" s="704"/>
      <c r="H46" s="879"/>
      <c r="I46" s="874"/>
    </row>
    <row r="47" spans="3:15" x14ac:dyDescent="0.25">
      <c r="C47" s="704"/>
      <c r="H47" s="879"/>
      <c r="I47" s="874"/>
    </row>
    <row r="48" spans="3:15" x14ac:dyDescent="0.25">
      <c r="C48" s="704"/>
      <c r="H48" s="879"/>
      <c r="I48" s="874"/>
    </row>
    <row r="49" spans="3:12" x14ac:dyDescent="0.25">
      <c r="C49" s="704"/>
      <c r="H49" s="879"/>
      <c r="I49" s="874"/>
    </row>
    <row r="50" spans="3:12" x14ac:dyDescent="0.25">
      <c r="C50" s="704"/>
      <c r="H50" s="879"/>
      <c r="I50" s="874"/>
    </row>
    <row r="51" spans="3:12" x14ac:dyDescent="0.25">
      <c r="C51" s="704"/>
      <c r="G51" s="874"/>
      <c r="H51" s="879"/>
      <c r="I51" s="874"/>
    </row>
    <row r="52" spans="3:12" x14ac:dyDescent="0.25">
      <c r="C52" s="704"/>
      <c r="G52" s="874"/>
      <c r="H52" s="879"/>
      <c r="I52" s="874"/>
      <c r="K52" s="705"/>
    </row>
    <row r="53" spans="3:12" x14ac:dyDescent="0.25">
      <c r="C53" s="704"/>
      <c r="G53" s="874"/>
      <c r="H53" s="879"/>
      <c r="I53" s="874"/>
    </row>
    <row r="54" spans="3:12" x14ac:dyDescent="0.25">
      <c r="C54" s="704"/>
      <c r="G54" s="874"/>
      <c r="H54" s="879"/>
      <c r="I54" s="874"/>
    </row>
    <row r="55" spans="3:12" x14ac:dyDescent="0.25">
      <c r="C55" s="704"/>
      <c r="G55" s="874"/>
      <c r="H55" s="879"/>
      <c r="I55" s="874"/>
    </row>
    <row r="56" spans="3:12" x14ac:dyDescent="0.25">
      <c r="C56" s="704"/>
      <c r="G56" s="874"/>
      <c r="H56" s="879"/>
      <c r="I56" s="874"/>
    </row>
    <row r="57" spans="3:12" x14ac:dyDescent="0.25">
      <c r="C57" s="704"/>
      <c r="G57" s="874"/>
      <c r="H57" s="879"/>
      <c r="I57" s="874"/>
    </row>
    <row r="58" spans="3:12" x14ac:dyDescent="0.25">
      <c r="C58" s="704"/>
      <c r="G58" s="874"/>
      <c r="H58" s="879"/>
      <c r="I58" s="874"/>
    </row>
    <row r="59" spans="3:12" x14ac:dyDescent="0.25">
      <c r="C59" s="704"/>
      <c r="G59" s="874"/>
      <c r="H59" s="879"/>
      <c r="I59" s="874"/>
    </row>
    <row r="60" spans="3:12" x14ac:dyDescent="0.25">
      <c r="C60" s="704"/>
      <c r="H60" s="879"/>
      <c r="I60" s="874"/>
      <c r="J60" s="874"/>
      <c r="K60" s="874"/>
    </row>
    <row r="61" spans="3:12" x14ac:dyDescent="0.25">
      <c r="C61" s="704"/>
      <c r="H61" s="879"/>
      <c r="I61" s="874"/>
      <c r="J61" s="874"/>
      <c r="K61" s="874"/>
    </row>
    <row r="62" spans="3:12" x14ac:dyDescent="0.25">
      <c r="C62" s="704"/>
      <c r="G62" s="874"/>
      <c r="H62" s="879"/>
      <c r="I62" s="874"/>
      <c r="J62" s="874"/>
      <c r="L62" s="874"/>
    </row>
    <row r="63" spans="3:12" x14ac:dyDescent="0.25">
      <c r="C63" s="704"/>
      <c r="H63" s="879"/>
      <c r="I63" s="874"/>
    </row>
    <row r="64" spans="3:12" x14ac:dyDescent="0.25">
      <c r="C64" s="704"/>
      <c r="H64" s="879"/>
      <c r="I64" s="874"/>
      <c r="J64" s="874"/>
    </row>
    <row r="65" spans="3:15" x14ac:dyDescent="0.25">
      <c r="C65" s="704"/>
      <c r="H65" s="879"/>
      <c r="I65" s="874"/>
    </row>
    <row r="66" spans="3:15" x14ac:dyDescent="0.25">
      <c r="C66" s="704"/>
      <c r="H66" s="879"/>
      <c r="I66" s="874"/>
      <c r="J66"/>
    </row>
    <row r="67" spans="3:15" x14ac:dyDescent="0.25">
      <c r="C67" s="704"/>
      <c r="F67" s="874"/>
      <c r="H67" s="879"/>
      <c r="I67" s="874"/>
      <c r="J67"/>
    </row>
    <row r="68" spans="3:15" x14ac:dyDescent="0.25">
      <c r="C68" s="704"/>
      <c r="H68" s="879"/>
      <c r="I68" s="874"/>
      <c r="J68"/>
    </row>
    <row r="69" spans="3:15" x14ac:dyDescent="0.25">
      <c r="C69" s="704"/>
      <c r="H69" s="879"/>
      <c r="I69" s="874"/>
      <c r="J69"/>
    </row>
    <row r="70" spans="3:15" x14ac:dyDescent="0.25">
      <c r="C70" s="704"/>
      <c r="H70" s="879"/>
      <c r="I70" s="874"/>
      <c r="J70"/>
    </row>
    <row r="71" spans="3:15" x14ac:dyDescent="0.25">
      <c r="C71" s="704"/>
      <c r="H71" s="879"/>
      <c r="I71" s="874"/>
      <c r="J71"/>
    </row>
    <row r="72" spans="3:15" x14ac:dyDescent="0.25">
      <c r="C72" s="704"/>
      <c r="H72" s="879"/>
      <c r="I72" s="874"/>
      <c r="J72"/>
    </row>
    <row r="73" spans="3:15" x14ac:dyDescent="0.25">
      <c r="C73" s="704"/>
      <c r="H73" s="879"/>
      <c r="I73" s="874"/>
      <c r="J73"/>
    </row>
    <row r="74" spans="3:15" x14ac:dyDescent="0.25">
      <c r="C74" s="704"/>
      <c r="H74" s="879"/>
      <c r="I74" s="874"/>
      <c r="J74"/>
    </row>
    <row r="75" spans="3:15" x14ac:dyDescent="0.25">
      <c r="C75" s="704"/>
      <c r="H75" s="879"/>
      <c r="I75" s="874"/>
      <c r="J75"/>
    </row>
    <row r="76" spans="3:15" x14ac:dyDescent="0.25">
      <c r="C76" s="704"/>
      <c r="H76" s="879"/>
      <c r="I76" s="874"/>
      <c r="J76"/>
    </row>
    <row r="77" spans="3:15" x14ac:dyDescent="0.25">
      <c r="C77" s="704"/>
      <c r="H77" s="879"/>
      <c r="I77" s="874"/>
      <c r="J77" s="874"/>
      <c r="K77" s="710"/>
      <c r="L77" s="874"/>
      <c r="M77" s="7"/>
      <c r="N77" s="7"/>
      <c r="O77" s="7"/>
    </row>
    <row r="78" spans="3:15" x14ac:dyDescent="0.25">
      <c r="C78" s="704"/>
      <c r="H78" s="879"/>
      <c r="I78" s="874"/>
      <c r="J78"/>
    </row>
    <row r="79" spans="3:15" x14ac:dyDescent="0.25">
      <c r="C79" s="704"/>
      <c r="H79" s="879"/>
      <c r="I79" s="874"/>
      <c r="J79"/>
    </row>
    <row r="80" spans="3:15" x14ac:dyDescent="0.25">
      <c r="C80" s="704"/>
      <c r="G80" s="1022"/>
      <c r="H80" s="879"/>
      <c r="I80" s="874"/>
      <c r="J80" s="874"/>
      <c r="L80" s="874"/>
    </row>
    <row r="81" spans="1:15" x14ac:dyDescent="0.25">
      <c r="A81" s="710"/>
      <c r="C81" s="711"/>
      <c r="D81" s="710"/>
      <c r="H81" s="879"/>
      <c r="I81" s="874"/>
      <c r="J81" s="874"/>
      <c r="K81" s="710"/>
      <c r="L81" s="874"/>
    </row>
    <row r="82" spans="1:15" x14ac:dyDescent="0.25">
      <c r="C82" s="704"/>
      <c r="H82" s="879"/>
      <c r="I82" s="874"/>
    </row>
    <row r="83" spans="1:15" x14ac:dyDescent="0.25">
      <c r="C83" s="704"/>
      <c r="G83" s="1022"/>
      <c r="H83" s="879"/>
      <c r="I83" s="874"/>
      <c r="J83" s="874"/>
      <c r="L83" s="874"/>
      <c r="M83" s="710"/>
      <c r="N83" s="710"/>
      <c r="O83" s="710"/>
    </row>
    <row r="84" spans="1:15" x14ac:dyDescent="0.25">
      <c r="A84" s="710"/>
      <c r="C84" s="704"/>
      <c r="H84" s="879"/>
      <c r="I84" s="874"/>
    </row>
    <row r="85" spans="1:15" x14ac:dyDescent="0.25">
      <c r="A85" s="710"/>
      <c r="C85" s="704"/>
      <c r="H85" s="879"/>
      <c r="I85" s="874"/>
      <c r="J85" s="874"/>
    </row>
    <row r="86" spans="1:15" x14ac:dyDescent="0.25">
      <c r="A86" s="710"/>
      <c r="C86" s="704"/>
      <c r="G86" s="712"/>
      <c r="H86" s="879"/>
      <c r="I86" s="895"/>
      <c r="J86" s="712"/>
      <c r="K86" s="712"/>
      <c r="M86" s="878"/>
    </row>
    <row r="87" spans="1:15" x14ac:dyDescent="0.25">
      <c r="A87" s="871"/>
      <c r="C87" s="704"/>
      <c r="G87" s="874"/>
      <c r="H87" s="879"/>
      <c r="K87" s="712"/>
    </row>
    <row r="88" spans="1:15" x14ac:dyDescent="0.25">
      <c r="A88" s="795"/>
      <c r="C88" s="704"/>
      <c r="F88" s="1022"/>
      <c r="G88" s="1022"/>
      <c r="H88" s="879"/>
      <c r="I88" s="874"/>
      <c r="J88" s="874"/>
      <c r="K88" s="1022"/>
      <c r="L88" s="1022"/>
    </row>
    <row r="89" spans="1:15" x14ac:dyDescent="0.25">
      <c r="A89" s="795"/>
      <c r="C89" s="704"/>
      <c r="F89" s="874"/>
      <c r="G89" s="1023"/>
      <c r="H89" s="879"/>
      <c r="I89" s="874"/>
    </row>
    <row r="90" spans="1:15" x14ac:dyDescent="0.25">
      <c r="A90" s="871"/>
      <c r="C90" s="704"/>
      <c r="F90" s="763"/>
      <c r="G90" s="763"/>
      <c r="H90" s="879"/>
      <c r="I90" s="874"/>
    </row>
    <row r="91" spans="1:15" x14ac:dyDescent="0.25">
      <c r="A91" s="871"/>
      <c r="C91" s="704"/>
      <c r="F91" s="763"/>
      <c r="G91" s="872"/>
      <c r="H91" s="879"/>
      <c r="I91" s="874"/>
    </row>
    <row r="92" spans="1:15" x14ac:dyDescent="0.25">
      <c r="A92" s="871"/>
      <c r="C92" s="704"/>
      <c r="F92" s="763"/>
      <c r="G92" s="763"/>
      <c r="H92" s="879"/>
      <c r="I92" s="874"/>
    </row>
    <row r="93" spans="1:15" x14ac:dyDescent="0.25">
      <c r="A93" s="871"/>
      <c r="C93" s="704"/>
      <c r="F93" s="763"/>
      <c r="G93" s="763"/>
      <c r="H93" s="879"/>
      <c r="I93" s="874"/>
    </row>
    <row r="94" spans="1:15" x14ac:dyDescent="0.25">
      <c r="A94" s="795"/>
      <c r="C94" s="704"/>
      <c r="F94" s="763"/>
      <c r="G94" s="763"/>
      <c r="H94" s="879"/>
      <c r="I94" s="874"/>
      <c r="M94" s="912"/>
    </row>
    <row r="95" spans="1:15" x14ac:dyDescent="0.25">
      <c r="A95" s="871"/>
      <c r="C95" s="704"/>
      <c r="F95" s="763"/>
      <c r="G95" s="763"/>
      <c r="H95" s="879"/>
      <c r="I95" s="874"/>
      <c r="M95" s="912"/>
    </row>
    <row r="96" spans="1:15" x14ac:dyDescent="0.25">
      <c r="A96" s="871"/>
      <c r="C96" s="704"/>
      <c r="F96" s="763"/>
      <c r="H96" s="879"/>
      <c r="I96" s="874"/>
    </row>
    <row r="97" spans="1:13" x14ac:dyDescent="0.25">
      <c r="A97" s="871"/>
      <c r="C97" s="704"/>
      <c r="D97" s="763"/>
      <c r="F97" s="763"/>
      <c r="G97" s="874"/>
      <c r="H97" s="879"/>
      <c r="I97" s="874"/>
      <c r="J97" s="874"/>
      <c r="L97" s="874"/>
    </row>
    <row r="98" spans="1:13" x14ac:dyDescent="0.25">
      <c r="A98" s="871"/>
      <c r="C98" s="704"/>
      <c r="F98" s="763"/>
      <c r="G98" s="763"/>
      <c r="H98" s="879"/>
      <c r="I98" s="874"/>
    </row>
    <row r="99" spans="1:13" x14ac:dyDescent="0.25">
      <c r="A99" s="871"/>
      <c r="C99" s="704"/>
      <c r="G99" s="874"/>
      <c r="H99" s="879"/>
      <c r="I99" s="874"/>
    </row>
    <row r="100" spans="1:13" x14ac:dyDescent="0.25">
      <c r="A100" s="871"/>
      <c r="C100" s="704"/>
      <c r="G100" s="874"/>
      <c r="H100" s="879"/>
      <c r="I100" s="874"/>
    </row>
    <row r="101" spans="1:13" x14ac:dyDescent="0.25">
      <c r="A101" s="871"/>
      <c r="C101" s="704"/>
      <c r="G101" s="874"/>
      <c r="H101" s="879"/>
      <c r="I101" s="874"/>
      <c r="M101" s="1024"/>
    </row>
    <row r="102" spans="1:13" x14ac:dyDescent="0.25">
      <c r="A102" s="871"/>
      <c r="C102" s="704"/>
      <c r="G102" s="874"/>
      <c r="H102" s="879"/>
      <c r="I102" s="874"/>
    </row>
    <row r="103" spans="1:13" x14ac:dyDescent="0.25">
      <c r="A103" s="710"/>
      <c r="C103" s="704"/>
      <c r="H103" s="879"/>
      <c r="I103" s="874"/>
    </row>
    <row r="104" spans="1:13" x14ac:dyDescent="0.25">
      <c r="A104" s="710"/>
      <c r="C104" s="704"/>
      <c r="H104" s="879"/>
      <c r="I104" s="874"/>
    </row>
    <row r="105" spans="1:13" x14ac:dyDescent="0.25">
      <c r="A105" s="710"/>
      <c r="C105" s="704"/>
      <c r="H105" s="879"/>
      <c r="I105" s="874"/>
    </row>
    <row r="106" spans="1:13" x14ac:dyDescent="0.25">
      <c r="A106" s="710"/>
      <c r="C106" s="704"/>
      <c r="H106" s="879"/>
      <c r="I106" s="874"/>
    </row>
    <row r="107" spans="1:13" x14ac:dyDescent="0.25">
      <c r="A107" s="710"/>
      <c r="C107" s="704"/>
      <c r="F107" s="874"/>
      <c r="G107" s="874"/>
      <c r="H107" s="879"/>
      <c r="I107" s="874"/>
      <c r="J107" s="874"/>
      <c r="K107" s="874"/>
      <c r="L107" s="874"/>
    </row>
    <row r="108" spans="1:13" x14ac:dyDescent="0.25">
      <c r="C108" s="704"/>
      <c r="G108" s="874"/>
      <c r="H108" s="879"/>
      <c r="L108" s="874"/>
    </row>
    <row r="109" spans="1:13" x14ac:dyDescent="0.25">
      <c r="C109" s="704"/>
      <c r="F109" s="874"/>
      <c r="G109" s="874"/>
      <c r="H109" s="879"/>
      <c r="L109" s="874"/>
    </row>
    <row r="110" spans="1:13" x14ac:dyDescent="0.25">
      <c r="C110" s="704"/>
      <c r="F110" s="874"/>
      <c r="G110" s="874"/>
      <c r="H110" s="879"/>
      <c r="L110" s="874"/>
      <c r="M110" s="1024"/>
    </row>
    <row r="111" spans="1:13" x14ac:dyDescent="0.25">
      <c r="C111" s="704"/>
      <c r="H111" s="879"/>
      <c r="I111" s="874"/>
    </row>
    <row r="112" spans="1:13" x14ac:dyDescent="0.25">
      <c r="C112" s="704"/>
      <c r="G112" s="874"/>
      <c r="H112" s="879"/>
      <c r="I112" s="874"/>
      <c r="J112" s="874"/>
      <c r="K112" s="874"/>
      <c r="L112" s="874"/>
    </row>
    <row r="113" spans="1:13" x14ac:dyDescent="0.25">
      <c r="C113" s="704"/>
      <c r="F113" s="796"/>
      <c r="G113" s="1025"/>
      <c r="H113" s="879"/>
      <c r="I113" s="874"/>
      <c r="J113" s="1025"/>
      <c r="K113" s="1025"/>
      <c r="L113" s="1025"/>
    </row>
    <row r="114" spans="1:13" x14ac:dyDescent="0.25">
      <c r="C114" s="704"/>
      <c r="F114" s="796"/>
      <c r="G114" s="874"/>
      <c r="H114" s="879"/>
      <c r="I114" s="874"/>
      <c r="J114" s="1025"/>
      <c r="K114" s="1025"/>
      <c r="L114" s="1025"/>
    </row>
    <row r="115" spans="1:13" x14ac:dyDescent="0.25">
      <c r="A115" s="710"/>
      <c r="C115" s="704"/>
      <c r="F115" s="796"/>
      <c r="H115" s="879"/>
      <c r="I115" s="874"/>
      <c r="J115" s="712"/>
      <c r="K115" s="796"/>
    </row>
    <row r="116" spans="1:13" x14ac:dyDescent="0.25">
      <c r="C116" s="704"/>
      <c r="F116" s="874"/>
      <c r="G116" s="874"/>
      <c r="H116" s="879"/>
      <c r="I116" s="874"/>
      <c r="J116" s="874"/>
      <c r="K116" s="874"/>
      <c r="L116" s="874"/>
    </row>
    <row r="117" spans="1:13" x14ac:dyDescent="0.25">
      <c r="C117" s="704"/>
      <c r="F117" s="874"/>
      <c r="G117" s="874"/>
      <c r="H117" s="879"/>
      <c r="L117" s="874"/>
    </row>
    <row r="118" spans="1:13" x14ac:dyDescent="0.25">
      <c r="A118" s="710"/>
      <c r="C118" s="704"/>
      <c r="F118" s="874"/>
      <c r="G118" s="763"/>
      <c r="H118" s="879"/>
      <c r="K118" s="874"/>
      <c r="L118" s="874"/>
    </row>
    <row r="119" spans="1:13" x14ac:dyDescent="0.25">
      <c r="C119" s="704"/>
      <c r="F119" s="874"/>
      <c r="G119" s="763"/>
      <c r="H119" s="879"/>
      <c r="K119" s="874"/>
      <c r="L119" s="874"/>
    </row>
    <row r="120" spans="1:13" x14ac:dyDescent="0.25">
      <c r="A120" s="710"/>
      <c r="C120" s="704"/>
      <c r="F120" s="874"/>
      <c r="G120" s="763"/>
      <c r="H120" s="879"/>
      <c r="K120" s="874"/>
      <c r="L120" s="874"/>
    </row>
    <row r="121" spans="1:13" x14ac:dyDescent="0.25">
      <c r="A121" s="710"/>
      <c r="C121" s="704"/>
      <c r="F121" s="874"/>
      <c r="G121" s="1023"/>
      <c r="H121" s="879"/>
      <c r="K121" s="874"/>
      <c r="L121" s="874"/>
    </row>
    <row r="122" spans="1:13" x14ac:dyDescent="0.25">
      <c r="C122" s="704"/>
      <c r="F122" s="874"/>
      <c r="G122" s="872"/>
      <c r="H122" s="879"/>
      <c r="K122" s="874"/>
      <c r="L122" s="874"/>
    </row>
    <row r="123" spans="1:13" x14ac:dyDescent="0.25">
      <c r="C123" s="704"/>
      <c r="F123" s="874"/>
      <c r="G123" s="763"/>
      <c r="H123" s="879"/>
      <c r="K123" s="874"/>
      <c r="L123" s="874"/>
    </row>
    <row r="124" spans="1:13" x14ac:dyDescent="0.25">
      <c r="C124" s="704"/>
      <c r="F124" s="874"/>
      <c r="G124" s="763"/>
      <c r="H124" s="879"/>
      <c r="K124" s="874"/>
      <c r="L124" s="874"/>
      <c r="M124" s="1024"/>
    </row>
    <row r="125" spans="1:13" x14ac:dyDescent="0.25">
      <c r="C125" s="704"/>
      <c r="F125" s="874"/>
      <c r="G125" s="763"/>
      <c r="H125" s="879"/>
      <c r="K125" s="874"/>
      <c r="L125" s="874"/>
    </row>
    <row r="126" spans="1:13" x14ac:dyDescent="0.25">
      <c r="C126" s="704"/>
      <c r="F126" s="874"/>
      <c r="G126" s="763"/>
      <c r="H126" s="879"/>
      <c r="K126" s="874"/>
      <c r="L126" s="874"/>
    </row>
    <row r="127" spans="1:13" x14ac:dyDescent="0.25">
      <c r="C127" s="704"/>
      <c r="F127" s="874"/>
      <c r="G127" s="874"/>
      <c r="H127" s="879"/>
      <c r="K127" s="874"/>
      <c r="L127" s="874"/>
    </row>
    <row r="128" spans="1:13" x14ac:dyDescent="0.25">
      <c r="C128" s="704"/>
      <c r="F128" s="874"/>
      <c r="G128" s="874"/>
      <c r="H128" s="879"/>
      <c r="K128" s="874"/>
      <c r="L128" s="874"/>
    </row>
    <row r="129" spans="1:15" x14ac:dyDescent="0.25">
      <c r="C129" s="704"/>
      <c r="F129" s="874"/>
      <c r="G129" s="874"/>
      <c r="H129" s="879"/>
      <c r="I129" s="874"/>
      <c r="J129" s="874"/>
      <c r="L129" s="874"/>
    </row>
    <row r="130" spans="1:15" x14ac:dyDescent="0.25">
      <c r="C130" s="704"/>
      <c r="F130" s="874"/>
      <c r="G130" s="874"/>
      <c r="H130" s="879"/>
      <c r="L130" s="874"/>
    </row>
    <row r="131" spans="1:15" x14ac:dyDescent="0.25">
      <c r="C131" s="704"/>
      <c r="F131" s="874"/>
      <c r="G131" s="874"/>
      <c r="H131" s="879"/>
      <c r="L131" s="874"/>
    </row>
    <row r="132" spans="1:15" x14ac:dyDescent="0.25">
      <c r="A132" s="874"/>
      <c r="C132" s="704"/>
      <c r="F132" s="874"/>
      <c r="G132" s="874"/>
      <c r="H132" s="879"/>
      <c r="I132" s="874"/>
      <c r="J132" s="874"/>
      <c r="L132" s="874"/>
    </row>
    <row r="133" spans="1:15" x14ac:dyDescent="0.25">
      <c r="C133" s="704"/>
      <c r="F133" s="874"/>
      <c r="G133" s="874"/>
      <c r="H133" s="879"/>
      <c r="L133" s="874"/>
    </row>
    <row r="134" spans="1:15" x14ac:dyDescent="0.25">
      <c r="C134" s="1026"/>
      <c r="F134" s="874"/>
      <c r="G134" s="874"/>
      <c r="H134" s="879"/>
      <c r="I134" s="874"/>
      <c r="J134" s="874"/>
      <c r="L134" s="874"/>
      <c r="M134" s="710"/>
      <c r="N134" s="710"/>
      <c r="O134" s="710"/>
    </row>
    <row r="135" spans="1:15" x14ac:dyDescent="0.25">
      <c r="C135" s="704"/>
      <c r="F135" s="874"/>
      <c r="G135" s="874"/>
      <c r="H135" s="879"/>
      <c r="L135" s="874"/>
    </row>
    <row r="136" spans="1:15" x14ac:dyDescent="0.25">
      <c r="C136" s="704"/>
      <c r="F136" s="874"/>
      <c r="G136" s="874"/>
      <c r="H136" s="879"/>
      <c r="L136" s="874"/>
    </row>
    <row r="137" spans="1:15" x14ac:dyDescent="0.25">
      <c r="C137" s="704"/>
      <c r="F137" s="874"/>
      <c r="G137" s="874"/>
      <c r="H137" s="879"/>
      <c r="K137" s="874"/>
      <c r="L137" s="874"/>
    </row>
    <row r="138" spans="1:15" x14ac:dyDescent="0.25">
      <c r="C138" s="704"/>
      <c r="F138" s="874"/>
      <c r="G138" s="874"/>
      <c r="H138" s="879"/>
      <c r="L138" s="874"/>
    </row>
    <row r="139" spans="1:15" x14ac:dyDescent="0.25">
      <c r="C139" s="704"/>
      <c r="F139" s="874"/>
      <c r="G139" s="874"/>
      <c r="H139" s="879"/>
      <c r="K139" s="874"/>
      <c r="L139" s="874"/>
    </row>
    <row r="140" spans="1:15" x14ac:dyDescent="0.25">
      <c r="C140" s="704"/>
      <c r="F140" s="874"/>
      <c r="G140" s="874"/>
      <c r="H140" s="879"/>
      <c r="L140" s="874"/>
    </row>
    <row r="141" spans="1:15" x14ac:dyDescent="0.25">
      <c r="C141" s="704"/>
      <c r="F141" s="874"/>
      <c r="G141" s="874"/>
      <c r="H141" s="879"/>
      <c r="I141" s="874"/>
      <c r="J141" s="874"/>
      <c r="L141" s="874"/>
      <c r="M141" s="710"/>
      <c r="N141" s="710"/>
      <c r="O141" s="710"/>
    </row>
    <row r="142" spans="1:15" x14ac:dyDescent="0.25">
      <c r="C142" s="704"/>
      <c r="F142" s="874"/>
      <c r="G142" s="874"/>
      <c r="H142" s="879"/>
      <c r="I142" s="874"/>
      <c r="J142" s="874"/>
      <c r="L142" s="874"/>
      <c r="M142" s="912"/>
    </row>
    <row r="143" spans="1:15" x14ac:dyDescent="0.25">
      <c r="A143" s="710"/>
      <c r="C143" s="704"/>
      <c r="G143" s="712"/>
      <c r="H143" s="879"/>
      <c r="I143" s="874"/>
    </row>
    <row r="144" spans="1:15" x14ac:dyDescent="0.25">
      <c r="C144" s="704"/>
      <c r="F144" s="874"/>
      <c r="G144" s="874"/>
      <c r="H144" s="879"/>
      <c r="I144" s="874"/>
      <c r="J144" s="874"/>
      <c r="L144" s="874"/>
      <c r="M144" s="710"/>
      <c r="N144" s="710"/>
      <c r="O144" s="710"/>
    </row>
    <row r="145" spans="1:15" x14ac:dyDescent="0.25">
      <c r="C145" s="704"/>
      <c r="F145" s="874"/>
      <c r="G145" s="874"/>
      <c r="H145" s="879"/>
      <c r="I145" s="874"/>
      <c r="J145" s="874"/>
      <c r="L145" s="874"/>
      <c r="M145" s="710"/>
      <c r="N145" s="710"/>
      <c r="O145" s="710"/>
    </row>
    <row r="146" spans="1:15" x14ac:dyDescent="0.25">
      <c r="C146" s="704"/>
      <c r="F146" s="874"/>
      <c r="G146" s="874"/>
      <c r="H146" s="879"/>
      <c r="I146" s="874"/>
      <c r="J146" s="874"/>
      <c r="L146" s="874"/>
      <c r="M146" s="710"/>
      <c r="N146" s="710"/>
      <c r="O146" s="710"/>
    </row>
    <row r="147" spans="1:15" x14ac:dyDescent="0.25">
      <c r="C147" s="704"/>
      <c r="F147" s="874"/>
      <c r="G147" s="874"/>
      <c r="H147" s="879"/>
      <c r="I147" s="874"/>
      <c r="J147" s="874"/>
      <c r="L147" s="874"/>
      <c r="M147" s="710"/>
      <c r="N147" s="710"/>
      <c r="O147" s="710"/>
    </row>
    <row r="148" spans="1:15" x14ac:dyDescent="0.25">
      <c r="C148" s="704"/>
      <c r="F148" s="874"/>
      <c r="G148" s="874"/>
      <c r="H148" s="879"/>
      <c r="I148" s="874"/>
      <c r="J148" s="874"/>
      <c r="L148" s="874"/>
      <c r="M148" s="710"/>
      <c r="N148" s="710"/>
      <c r="O148" s="710"/>
    </row>
    <row r="149" spans="1:15" x14ac:dyDescent="0.25">
      <c r="C149" s="704"/>
      <c r="F149" s="874"/>
      <c r="G149" s="874"/>
      <c r="H149" s="879"/>
      <c r="I149" s="874"/>
      <c r="J149" s="874"/>
      <c r="L149" s="874"/>
    </row>
    <row r="150" spans="1:15" x14ac:dyDescent="0.25">
      <c r="C150" s="704"/>
      <c r="F150" s="874"/>
      <c r="G150" s="874"/>
      <c r="H150" s="879"/>
      <c r="I150" s="874"/>
      <c r="J150" s="874"/>
      <c r="L150" s="874"/>
    </row>
    <row r="151" spans="1:15" x14ac:dyDescent="0.25">
      <c r="C151" s="704"/>
      <c r="F151" s="874"/>
      <c r="H151" s="879"/>
      <c r="I151" s="874"/>
      <c r="J151" s="874"/>
      <c r="L151" s="874"/>
    </row>
    <row r="152" spans="1:15" x14ac:dyDescent="0.25">
      <c r="C152" s="704"/>
      <c r="F152" s="874"/>
      <c r="G152" s="874"/>
      <c r="H152" s="879"/>
      <c r="I152" s="874"/>
      <c r="J152" s="874"/>
      <c r="L152" s="874"/>
    </row>
    <row r="153" spans="1:15" x14ac:dyDescent="0.25">
      <c r="C153" s="704"/>
      <c r="F153" s="874"/>
      <c r="G153" s="874"/>
      <c r="H153" s="879"/>
      <c r="I153" s="874"/>
      <c r="J153" s="874"/>
      <c r="K153" s="874"/>
      <c r="L153" s="874"/>
    </row>
    <row r="154" spans="1:15" x14ac:dyDescent="0.25">
      <c r="C154" s="704"/>
      <c r="F154" s="874"/>
      <c r="G154" s="874"/>
      <c r="H154" s="879"/>
      <c r="I154" s="874"/>
      <c r="J154" s="874"/>
      <c r="K154" s="874"/>
      <c r="L154" s="874"/>
    </row>
    <row r="155" spans="1:15" x14ac:dyDescent="0.25">
      <c r="A155" s="710"/>
      <c r="C155" s="704"/>
      <c r="F155" s="763"/>
      <c r="G155" s="763"/>
      <c r="H155" s="879"/>
      <c r="I155" s="874"/>
    </row>
    <row r="156" spans="1:15" x14ac:dyDescent="0.25">
      <c r="C156" s="704"/>
      <c r="F156" s="874"/>
      <c r="G156" s="874"/>
      <c r="H156" s="879"/>
      <c r="I156" s="874"/>
      <c r="J156" s="874"/>
      <c r="K156" s="874"/>
      <c r="L156" s="874"/>
    </row>
    <row r="157" spans="1:15" x14ac:dyDescent="0.25">
      <c r="C157" s="704"/>
      <c r="F157" s="874"/>
      <c r="G157" s="874"/>
      <c r="H157" s="879"/>
      <c r="I157" s="874"/>
      <c r="J157" s="874"/>
      <c r="K157" s="874"/>
      <c r="L157" s="874"/>
    </row>
    <row r="158" spans="1:15" x14ac:dyDescent="0.25">
      <c r="A158" s="710"/>
      <c r="C158" s="704"/>
      <c r="F158" s="874"/>
      <c r="G158" s="763"/>
      <c r="H158" s="879"/>
      <c r="L158" s="874"/>
    </row>
    <row r="159" spans="1:15" x14ac:dyDescent="0.25">
      <c r="C159" s="704"/>
      <c r="F159" s="874"/>
      <c r="G159" s="874"/>
      <c r="H159" s="879"/>
      <c r="I159" s="874"/>
      <c r="J159" s="874"/>
      <c r="K159" s="874"/>
      <c r="L159" s="874"/>
    </row>
    <row r="160" spans="1:15" x14ac:dyDescent="0.25">
      <c r="A160" s="874"/>
      <c r="C160" s="704"/>
      <c r="E160" s="782"/>
      <c r="F160" s="874"/>
      <c r="G160" s="874"/>
      <c r="H160" s="879"/>
      <c r="I160" s="874"/>
      <c r="J160" s="874"/>
      <c r="K160" s="874"/>
      <c r="L160" s="874"/>
    </row>
    <row r="161" spans="1:15" x14ac:dyDescent="0.25">
      <c r="A161" s="874"/>
      <c r="C161" s="704"/>
      <c r="E161" s="782"/>
      <c r="F161" s="874"/>
      <c r="G161" s="874"/>
      <c r="H161" s="879"/>
      <c r="I161" s="874"/>
      <c r="J161" s="874"/>
      <c r="K161" s="874"/>
      <c r="L161" s="874"/>
      <c r="M161" s="874"/>
      <c r="N161" s="874"/>
      <c r="O161" s="874"/>
    </row>
    <row r="162" spans="1:15" x14ac:dyDescent="0.25">
      <c r="C162" s="704"/>
      <c r="F162" s="874"/>
      <c r="G162" s="874"/>
      <c r="H162" s="879"/>
      <c r="I162" s="874"/>
      <c r="J162" s="874"/>
      <c r="L162" s="874"/>
      <c r="M162" s="710"/>
      <c r="N162" s="710"/>
      <c r="O162" s="710"/>
    </row>
    <row r="163" spans="1:15" x14ac:dyDescent="0.25">
      <c r="C163" s="704"/>
      <c r="F163" s="874"/>
      <c r="G163" s="874"/>
      <c r="H163" s="879"/>
      <c r="I163" s="874"/>
      <c r="J163" s="874"/>
      <c r="L163" s="874"/>
      <c r="M163" s="710"/>
      <c r="N163" s="710"/>
      <c r="O163" s="710"/>
    </row>
    <row r="164" spans="1:15" x14ac:dyDescent="0.25">
      <c r="C164" s="704"/>
      <c r="F164" s="874"/>
      <c r="G164" s="874"/>
      <c r="H164" s="879"/>
      <c r="I164" s="874"/>
      <c r="J164" s="874"/>
      <c r="L164" s="874"/>
      <c r="M164" s="710"/>
      <c r="N164" s="710"/>
      <c r="O164" s="710"/>
    </row>
    <row r="165" spans="1:15" x14ac:dyDescent="0.25">
      <c r="C165" s="704"/>
      <c r="F165" s="874"/>
      <c r="G165" s="874"/>
      <c r="H165" s="879"/>
      <c r="I165" s="874"/>
      <c r="J165" s="874"/>
      <c r="L165" s="874"/>
      <c r="M165" s="710"/>
      <c r="N165" s="710"/>
      <c r="O165" s="710"/>
    </row>
    <row r="166" spans="1:15" x14ac:dyDescent="0.25">
      <c r="A166" s="803"/>
      <c r="C166" s="704"/>
      <c r="F166" s="874"/>
      <c r="G166" s="874"/>
      <c r="H166" s="879"/>
      <c r="I166" s="874"/>
      <c r="J166" s="874"/>
      <c r="L166" s="874"/>
      <c r="M166" s="710"/>
      <c r="N166" s="710"/>
      <c r="O166" s="710"/>
    </row>
    <row r="167" spans="1:15" x14ac:dyDescent="0.25">
      <c r="A167" s="803"/>
      <c r="C167" s="704"/>
      <c r="F167" s="874"/>
      <c r="G167" s="874"/>
      <c r="H167" s="879"/>
      <c r="I167" s="874"/>
      <c r="J167" s="874"/>
      <c r="L167" s="874"/>
      <c r="M167" s="710"/>
      <c r="N167" s="710"/>
      <c r="O167" s="710"/>
    </row>
    <row r="168" spans="1:15" x14ac:dyDescent="0.25">
      <c r="C168" s="704"/>
      <c r="F168" s="874"/>
      <c r="G168" s="874"/>
      <c r="H168" s="879"/>
      <c r="I168" s="874"/>
      <c r="J168" s="874"/>
      <c r="L168" s="874"/>
      <c r="M168" s="710"/>
      <c r="N168" s="710"/>
      <c r="O168" s="710"/>
    </row>
    <row r="169" spans="1:15" x14ac:dyDescent="0.25">
      <c r="C169" s="704"/>
      <c r="F169" s="874"/>
      <c r="G169" s="874"/>
      <c r="H169" s="879"/>
      <c r="I169" s="874"/>
      <c r="J169" s="874"/>
      <c r="L169" s="874"/>
      <c r="M169" s="710"/>
      <c r="N169" s="710"/>
      <c r="O169" s="710"/>
    </row>
    <row r="170" spans="1:15" x14ac:dyDescent="0.25">
      <c r="C170" s="704"/>
      <c r="F170" s="874"/>
      <c r="G170" s="874"/>
      <c r="H170" s="879"/>
      <c r="I170" s="874"/>
      <c r="J170" s="874"/>
      <c r="L170" s="874"/>
      <c r="M170" s="710"/>
      <c r="N170" s="710"/>
      <c r="O170" s="710"/>
    </row>
    <row r="171" spans="1:15" x14ac:dyDescent="0.25">
      <c r="C171" s="704"/>
      <c r="F171" s="874"/>
      <c r="G171" s="874"/>
      <c r="H171" s="879"/>
      <c r="I171" s="874"/>
      <c r="J171" s="874"/>
      <c r="L171" s="874"/>
    </row>
    <row r="172" spans="1:15" x14ac:dyDescent="0.25">
      <c r="C172" s="704"/>
      <c r="F172" s="874"/>
      <c r="G172" s="874"/>
      <c r="H172" s="879"/>
      <c r="I172" s="874"/>
      <c r="J172" s="874"/>
      <c r="L172" s="874"/>
      <c r="M172" s="710"/>
      <c r="N172" s="710"/>
      <c r="O172" s="710"/>
    </row>
    <row r="173" spans="1:15" x14ac:dyDescent="0.25">
      <c r="A173" s="874"/>
      <c r="C173" s="704"/>
      <c r="F173" s="874"/>
      <c r="G173" s="874"/>
      <c r="H173" s="879"/>
      <c r="I173" s="874"/>
      <c r="J173" s="874"/>
      <c r="L173" s="874"/>
    </row>
    <row r="174" spans="1:15" x14ac:dyDescent="0.25">
      <c r="A174" s="874"/>
      <c r="C174" s="704"/>
      <c r="F174" s="874"/>
      <c r="G174" s="874"/>
      <c r="H174" s="879"/>
      <c r="I174" s="874"/>
      <c r="J174" s="874"/>
      <c r="L174" s="874"/>
      <c r="M174" s="710"/>
      <c r="N174" s="710"/>
      <c r="O174" s="710"/>
    </row>
    <row r="175" spans="1:15" x14ac:dyDescent="0.25">
      <c r="C175" s="704"/>
      <c r="F175" s="874"/>
      <c r="G175" s="874"/>
      <c r="H175" s="879"/>
      <c r="I175" s="874"/>
      <c r="J175" s="874"/>
      <c r="L175" s="874"/>
      <c r="M175" s="710"/>
      <c r="N175" s="710"/>
      <c r="O175" s="710"/>
    </row>
    <row r="176" spans="1:15" x14ac:dyDescent="0.25">
      <c r="C176" s="704"/>
      <c r="F176" s="874"/>
      <c r="G176" s="874"/>
      <c r="H176" s="879"/>
      <c r="I176" s="874"/>
      <c r="J176" s="874"/>
      <c r="K176" s="874"/>
      <c r="L176" s="874"/>
      <c r="M176" s="874"/>
      <c r="N176" s="874"/>
      <c r="O176" s="874"/>
    </row>
    <row r="177" spans="1:15" x14ac:dyDescent="0.25">
      <c r="C177" s="704"/>
      <c r="F177" s="874"/>
      <c r="G177" s="874"/>
      <c r="H177" s="879"/>
      <c r="I177" s="874"/>
      <c r="J177" s="874"/>
      <c r="L177" s="874"/>
    </row>
    <row r="178" spans="1:15" x14ac:dyDescent="0.25">
      <c r="C178" s="704"/>
      <c r="F178" s="874"/>
      <c r="G178" s="874"/>
      <c r="H178" s="879"/>
      <c r="I178" s="874"/>
      <c r="J178" s="874"/>
      <c r="L178" s="874"/>
      <c r="M178" s="710"/>
      <c r="N178" s="710"/>
      <c r="O178" s="710"/>
    </row>
    <row r="179" spans="1:15" x14ac:dyDescent="0.25">
      <c r="C179" s="704"/>
      <c r="F179" s="874"/>
      <c r="G179" s="874"/>
      <c r="H179" s="879"/>
      <c r="I179" s="874"/>
      <c r="J179" s="874"/>
      <c r="L179" s="874"/>
    </row>
    <row r="180" spans="1:15" x14ac:dyDescent="0.25">
      <c r="C180" s="704"/>
      <c r="F180" s="874"/>
      <c r="G180" s="874"/>
      <c r="H180" s="879"/>
      <c r="I180" s="874"/>
      <c r="J180" s="874"/>
      <c r="K180" s="874"/>
      <c r="M180" s="874"/>
      <c r="N180" s="874"/>
      <c r="O180" s="874"/>
    </row>
    <row r="181" spans="1:15" x14ac:dyDescent="0.25">
      <c r="A181" s="803"/>
      <c r="C181" s="1026"/>
      <c r="F181" s="874"/>
      <c r="G181" s="874"/>
      <c r="H181" s="879"/>
      <c r="I181" s="874"/>
      <c r="J181" s="874"/>
      <c r="L181" s="874"/>
    </row>
    <row r="182" spans="1:15" x14ac:dyDescent="0.25">
      <c r="A182" s="803"/>
      <c r="C182" s="704"/>
      <c r="F182" s="874"/>
      <c r="G182" s="874"/>
      <c r="H182" s="879"/>
      <c r="I182" s="874"/>
      <c r="J182" s="874"/>
      <c r="K182" s="874"/>
      <c r="L182" s="874"/>
      <c r="M182" s="874"/>
      <c r="N182" s="874"/>
      <c r="O182" s="874"/>
    </row>
    <row r="183" spans="1:15" x14ac:dyDescent="0.25">
      <c r="A183" s="803"/>
      <c r="C183" s="704"/>
      <c r="F183" s="874"/>
      <c r="G183" s="874"/>
      <c r="H183" s="879"/>
      <c r="I183" s="874"/>
      <c r="J183" s="874"/>
      <c r="K183" s="874"/>
      <c r="L183" s="874"/>
      <c r="M183" s="874"/>
      <c r="N183" s="874"/>
      <c r="O183" s="874"/>
    </row>
    <row r="184" spans="1:15" x14ac:dyDescent="0.25">
      <c r="C184" s="704"/>
      <c r="F184" s="874"/>
      <c r="G184" s="874"/>
      <c r="H184" s="879"/>
      <c r="I184" s="874"/>
      <c r="J184"/>
      <c r="L184" s="874"/>
      <c r="M184" s="874"/>
      <c r="N184" s="874"/>
      <c r="O184" s="874"/>
    </row>
    <row r="185" spans="1:15" x14ac:dyDescent="0.25">
      <c r="C185" s="704"/>
      <c r="F185" s="874"/>
      <c r="G185" s="874"/>
      <c r="H185" s="879"/>
      <c r="I185" s="874"/>
      <c r="J185"/>
      <c r="L185" s="874"/>
      <c r="M185" s="874"/>
      <c r="N185" s="874"/>
      <c r="O185" s="874"/>
    </row>
    <row r="186" spans="1:15" x14ac:dyDescent="0.25">
      <c r="C186" s="704"/>
      <c r="F186" s="874"/>
      <c r="G186" s="874"/>
      <c r="H186" s="879"/>
      <c r="I186" s="874"/>
      <c r="J186" s="874"/>
      <c r="K186" s="874"/>
      <c r="L186" s="874"/>
      <c r="M186" s="874"/>
      <c r="N186" s="874"/>
      <c r="O186" s="874"/>
    </row>
    <row r="187" spans="1:15" x14ac:dyDescent="0.25">
      <c r="C187" s="704"/>
      <c r="F187" s="874"/>
      <c r="G187" s="874"/>
      <c r="H187" s="879"/>
      <c r="I187" s="874"/>
      <c r="J187" s="874"/>
      <c r="L187" s="874"/>
    </row>
    <row r="188" spans="1:15" x14ac:dyDescent="0.25">
      <c r="A188" s="803"/>
      <c r="C188" s="704"/>
      <c r="F188" s="874"/>
      <c r="G188" s="874"/>
      <c r="H188" s="879"/>
      <c r="I188" s="874"/>
      <c r="J188" s="874"/>
      <c r="K188" s="874"/>
      <c r="L188" s="874"/>
      <c r="M188" s="874"/>
      <c r="N188" s="874"/>
      <c r="O188" s="874"/>
    </row>
    <row r="189" spans="1:15" x14ac:dyDescent="0.25">
      <c r="A189" s="803"/>
      <c r="C189" s="704"/>
      <c r="F189" s="874"/>
      <c r="G189" s="874"/>
      <c r="H189" s="879"/>
      <c r="I189" s="874"/>
      <c r="J189" s="874"/>
      <c r="K189" s="874"/>
      <c r="L189" s="874"/>
      <c r="M189" s="874"/>
      <c r="N189" s="874"/>
      <c r="O189" s="874"/>
    </row>
    <row r="190" spans="1:15" x14ac:dyDescent="0.25">
      <c r="A190" s="803"/>
      <c r="C190" s="704"/>
      <c r="F190" s="874"/>
      <c r="G190" s="874"/>
      <c r="H190" s="879"/>
      <c r="I190" s="874"/>
      <c r="J190" s="874"/>
      <c r="L190" s="874"/>
    </row>
    <row r="191" spans="1:15" x14ac:dyDescent="0.25">
      <c r="A191" s="803"/>
      <c r="C191" s="808"/>
      <c r="F191" s="874"/>
      <c r="G191" s="874"/>
      <c r="H191" s="879"/>
      <c r="I191" s="874"/>
      <c r="J191" s="874"/>
      <c r="L191" s="874"/>
    </row>
    <row r="192" spans="1:15" x14ac:dyDescent="0.25">
      <c r="A192" s="803"/>
      <c r="C192" s="704"/>
      <c r="E192" s="896"/>
      <c r="F192" s="874"/>
      <c r="G192" s="874"/>
      <c r="H192" s="879"/>
      <c r="I192" s="874"/>
      <c r="J192" s="874"/>
      <c r="L192" s="874"/>
      <c r="M192" s="874"/>
      <c r="N192" s="874"/>
      <c r="O192" s="874"/>
    </row>
    <row r="193" spans="1:15" x14ac:dyDescent="0.25">
      <c r="A193" s="803"/>
      <c r="C193" s="704"/>
      <c r="F193" s="874"/>
      <c r="G193" s="874"/>
      <c r="H193" s="879"/>
      <c r="I193" s="874"/>
      <c r="J193" s="874"/>
      <c r="L193" s="874"/>
      <c r="M193" s="874"/>
      <c r="N193" s="874"/>
      <c r="O193" s="874"/>
    </row>
    <row r="194" spans="1:15" x14ac:dyDescent="0.25">
      <c r="A194" s="803"/>
      <c r="C194" s="704"/>
      <c r="F194" s="874"/>
      <c r="G194" s="874"/>
      <c r="H194" s="879"/>
      <c r="I194" s="874"/>
      <c r="J194" s="874"/>
      <c r="K194" s="874"/>
      <c r="L194" s="874"/>
    </row>
    <row r="195" spans="1:15" x14ac:dyDescent="0.25">
      <c r="A195" s="803"/>
      <c r="C195" s="704"/>
      <c r="F195" s="874"/>
      <c r="G195" s="874"/>
      <c r="H195" s="879"/>
      <c r="I195" s="874"/>
      <c r="J195" s="874"/>
      <c r="K195" s="874"/>
      <c r="L195" s="874"/>
    </row>
    <row r="196" spans="1:15" x14ac:dyDescent="0.25">
      <c r="A196" s="803"/>
      <c r="C196" s="704"/>
      <c r="E196" s="876"/>
      <c r="F196" s="874"/>
      <c r="G196" s="874"/>
      <c r="H196" s="879"/>
      <c r="I196" s="874"/>
      <c r="J196" s="874"/>
      <c r="L196" s="874"/>
    </row>
    <row r="197" spans="1:15" x14ac:dyDescent="0.25">
      <c r="A197" s="803"/>
      <c r="C197" s="704"/>
      <c r="E197" s="876"/>
      <c r="F197" s="874"/>
      <c r="G197" s="874"/>
      <c r="H197" s="879"/>
      <c r="I197" s="874"/>
      <c r="J197" s="874"/>
      <c r="L197" s="874"/>
      <c r="M197" s="874"/>
      <c r="N197" s="874"/>
      <c r="O197" s="874"/>
    </row>
    <row r="198" spans="1:15" x14ac:dyDescent="0.25">
      <c r="A198" s="803"/>
      <c r="C198" s="704"/>
      <c r="F198" s="874"/>
      <c r="G198" s="874"/>
      <c r="H198" s="879"/>
      <c r="I198" s="874"/>
      <c r="J198" s="874"/>
      <c r="K198" s="874"/>
      <c r="L198" s="874"/>
    </row>
    <row r="199" spans="1:15" x14ac:dyDescent="0.25">
      <c r="A199" s="803"/>
      <c r="C199" s="704"/>
      <c r="F199" s="874"/>
      <c r="G199" s="874"/>
      <c r="H199" s="879"/>
      <c r="I199" s="874"/>
      <c r="J199" s="874"/>
      <c r="L199" s="874"/>
    </row>
    <row r="200" spans="1:15" x14ac:dyDescent="0.25">
      <c r="A200" s="803"/>
      <c r="C200" s="704"/>
      <c r="E200" s="896"/>
      <c r="F200" s="874"/>
      <c r="G200" s="874"/>
      <c r="H200" s="879"/>
      <c r="I200" s="874"/>
      <c r="J200" s="874"/>
      <c r="L200" s="874"/>
    </row>
    <row r="201" spans="1:15" x14ac:dyDescent="0.25">
      <c r="A201" s="803"/>
      <c r="C201" s="704"/>
      <c r="E201" s="876"/>
      <c r="F201" s="874"/>
      <c r="G201" s="874"/>
      <c r="H201" s="879"/>
      <c r="I201" s="874"/>
      <c r="J201" s="874"/>
      <c r="L201" s="874"/>
      <c r="M201" s="874"/>
      <c r="N201" s="874"/>
      <c r="O201" s="874"/>
    </row>
    <row r="202" spans="1:15" x14ac:dyDescent="0.25">
      <c r="A202" s="803"/>
      <c r="C202" s="704"/>
      <c r="E202" s="876"/>
      <c r="F202" s="874"/>
      <c r="G202" s="874"/>
      <c r="H202" s="879"/>
      <c r="I202" s="874"/>
      <c r="J202" s="874"/>
      <c r="L202" s="874"/>
      <c r="M202" s="874"/>
      <c r="N202" s="874"/>
      <c r="O202" s="874"/>
    </row>
    <row r="203" spans="1:15" x14ac:dyDescent="0.25">
      <c r="A203" s="803"/>
      <c r="C203" s="704"/>
      <c r="E203" s="896"/>
      <c r="F203" s="874"/>
      <c r="G203" s="874"/>
      <c r="H203" s="879"/>
      <c r="I203" s="874"/>
      <c r="J203" s="874"/>
      <c r="L203" s="874"/>
      <c r="M203" s="874"/>
      <c r="N203" s="874"/>
      <c r="O203" s="874"/>
    </row>
    <row r="204" spans="1:15" x14ac:dyDescent="0.25">
      <c r="A204" s="803"/>
      <c r="C204" s="704"/>
      <c r="E204" s="876"/>
      <c r="F204" s="874"/>
      <c r="G204" s="874"/>
      <c r="H204" s="879"/>
      <c r="I204" s="874"/>
      <c r="J204" s="874"/>
      <c r="L204" s="874"/>
    </row>
    <row r="205" spans="1:15" x14ac:dyDescent="0.25">
      <c r="A205" s="803"/>
      <c r="C205" s="704"/>
      <c r="E205" s="876"/>
      <c r="F205" s="874"/>
      <c r="G205" s="874"/>
      <c r="H205" s="879"/>
      <c r="I205" s="874"/>
      <c r="J205" s="874"/>
      <c r="L205" s="874"/>
      <c r="M205" s="874"/>
      <c r="N205" s="874"/>
      <c r="O205" s="874"/>
    </row>
    <row r="206" spans="1:15" x14ac:dyDescent="0.25">
      <c r="A206" s="803"/>
      <c r="C206" s="704"/>
      <c r="F206" s="874"/>
      <c r="G206" s="874"/>
      <c r="H206" s="879"/>
      <c r="I206" s="874"/>
      <c r="J206" s="874"/>
      <c r="L206" s="874"/>
    </row>
    <row r="207" spans="1:15" x14ac:dyDescent="0.25">
      <c r="A207" s="803"/>
      <c r="C207" s="704"/>
      <c r="F207" s="874"/>
      <c r="G207" s="874"/>
      <c r="H207" s="879"/>
      <c r="I207" s="874"/>
      <c r="J207" s="874"/>
      <c r="L207" s="874"/>
    </row>
    <row r="208" spans="1:15" x14ac:dyDescent="0.25">
      <c r="A208" s="803"/>
      <c r="C208" s="704"/>
      <c r="E208" s="876"/>
      <c r="F208" s="874"/>
      <c r="G208" s="874"/>
      <c r="H208" s="879"/>
      <c r="I208" s="874"/>
      <c r="J208" s="874"/>
      <c r="L208" s="874"/>
    </row>
    <row r="209" spans="1:15" x14ac:dyDescent="0.25">
      <c r="A209" s="803"/>
      <c r="C209" s="704"/>
      <c r="F209" s="874"/>
      <c r="G209" s="874"/>
      <c r="H209" s="879"/>
      <c r="I209" s="874"/>
      <c r="J209" s="874"/>
      <c r="L209" s="874"/>
    </row>
    <row r="210" spans="1:15" x14ac:dyDescent="0.25">
      <c r="A210" s="803"/>
      <c r="C210" s="704"/>
      <c r="F210" s="874"/>
      <c r="G210" s="874"/>
      <c r="H210" s="879"/>
      <c r="I210" s="874"/>
      <c r="J210" s="874"/>
      <c r="L210" s="874"/>
    </row>
    <row r="211" spans="1:15" x14ac:dyDescent="0.25">
      <c r="A211" s="803"/>
      <c r="C211" s="704"/>
      <c r="F211" s="874"/>
      <c r="H211" s="879"/>
      <c r="I211" s="874"/>
      <c r="J211" s="874"/>
      <c r="L211" s="874"/>
    </row>
    <row r="212" spans="1:15" x14ac:dyDescent="0.25">
      <c r="A212" s="803"/>
      <c r="C212" s="704"/>
      <c r="F212" s="874"/>
      <c r="G212" s="874"/>
      <c r="H212" s="879"/>
      <c r="I212" s="874"/>
      <c r="J212" s="874"/>
      <c r="K212" s="874"/>
      <c r="L212" s="874"/>
    </row>
    <row r="213" spans="1:15" x14ac:dyDescent="0.25">
      <c r="A213" s="803"/>
      <c r="C213" s="704"/>
      <c r="F213" s="874"/>
      <c r="G213" s="874"/>
      <c r="H213" s="879"/>
      <c r="I213" s="874"/>
      <c r="J213" s="874"/>
      <c r="K213" s="874"/>
      <c r="L213" s="874"/>
    </row>
    <row r="214" spans="1:15" x14ac:dyDescent="0.25">
      <c r="A214" s="803"/>
      <c r="C214" s="1026"/>
      <c r="F214" s="874"/>
      <c r="G214" s="874"/>
      <c r="H214" s="879"/>
      <c r="I214" s="874"/>
      <c r="J214" s="874"/>
      <c r="L214" s="874"/>
      <c r="M214" s="874"/>
      <c r="N214" s="874"/>
      <c r="O214" s="874"/>
    </row>
    <row r="215" spans="1:15" x14ac:dyDescent="0.25">
      <c r="A215" s="803"/>
      <c r="C215" s="1026"/>
      <c r="F215" s="874"/>
      <c r="G215" s="874"/>
      <c r="H215" s="879"/>
      <c r="I215" s="874"/>
      <c r="J215" s="874"/>
      <c r="L215" s="874"/>
      <c r="M215" s="874"/>
      <c r="N215" s="874"/>
      <c r="O215" s="874"/>
    </row>
    <row r="216" spans="1:15" x14ac:dyDescent="0.25">
      <c r="A216" s="803"/>
      <c r="C216" s="1026"/>
      <c r="F216" s="874"/>
      <c r="G216" s="874"/>
      <c r="H216" s="879"/>
      <c r="I216" s="874"/>
      <c r="J216" s="874"/>
      <c r="L216" s="874"/>
      <c r="M216" s="874"/>
      <c r="N216" s="874"/>
      <c r="O216" s="874"/>
    </row>
    <row r="217" spans="1:15" x14ac:dyDescent="0.25">
      <c r="A217" s="803"/>
      <c r="C217" s="1026"/>
      <c r="F217" s="874"/>
      <c r="G217" s="874"/>
      <c r="H217" s="879"/>
      <c r="I217" s="874"/>
      <c r="J217" s="874"/>
      <c r="L217" s="874"/>
      <c r="M217" s="874"/>
      <c r="N217" s="874"/>
      <c r="O217" s="874"/>
    </row>
    <row r="218" spans="1:15" x14ac:dyDescent="0.25">
      <c r="A218" s="803"/>
      <c r="C218" s="1026"/>
      <c r="F218" s="874"/>
      <c r="G218" s="874"/>
      <c r="H218" s="879"/>
      <c r="I218" s="874"/>
      <c r="J218" s="874"/>
      <c r="L218" s="874"/>
      <c r="M218" s="874"/>
      <c r="N218" s="874"/>
      <c r="O218" s="874"/>
    </row>
    <row r="219" spans="1:15" x14ac:dyDescent="0.25">
      <c r="A219" s="803"/>
      <c r="C219" s="1026"/>
      <c r="F219" s="874"/>
      <c r="G219" s="874"/>
      <c r="H219" s="879"/>
      <c r="I219" s="874"/>
      <c r="J219" s="874"/>
      <c r="L219" s="874"/>
      <c r="M219" s="874"/>
      <c r="N219" s="874"/>
      <c r="O219" s="874"/>
    </row>
    <row r="220" spans="1:15" x14ac:dyDescent="0.25">
      <c r="A220" s="803"/>
      <c r="C220" s="1026"/>
      <c r="F220" s="874"/>
      <c r="G220" s="874"/>
      <c r="H220" s="879"/>
      <c r="I220" s="874"/>
      <c r="J220" s="874"/>
      <c r="L220" s="874"/>
      <c r="M220" s="874"/>
      <c r="N220" s="874"/>
      <c r="O220" s="874"/>
    </row>
    <row r="221" spans="1:15" x14ac:dyDescent="0.25">
      <c r="A221" s="803"/>
      <c r="C221" s="1026"/>
      <c r="F221" s="874"/>
      <c r="G221" s="874"/>
      <c r="H221" s="879"/>
      <c r="I221" s="874"/>
      <c r="J221" s="874"/>
      <c r="L221" s="874"/>
      <c r="M221" s="874"/>
      <c r="N221" s="874"/>
      <c r="O221" s="874"/>
    </row>
    <row r="222" spans="1:15" x14ac:dyDescent="0.25">
      <c r="A222" s="803"/>
      <c r="C222" s="1027"/>
      <c r="F222" s="874"/>
      <c r="G222" s="874"/>
      <c r="H222" s="879"/>
      <c r="I222" s="874"/>
      <c r="J222" s="874"/>
      <c r="L222" s="874"/>
      <c r="M222" s="874"/>
      <c r="N222" s="874"/>
      <c r="O222" s="874"/>
    </row>
    <row r="223" spans="1:15" x14ac:dyDescent="0.25">
      <c r="A223" s="803"/>
      <c r="C223" s="1027"/>
      <c r="F223" s="874"/>
      <c r="G223" s="874"/>
      <c r="H223" s="879"/>
      <c r="I223" s="874"/>
      <c r="J223" s="874"/>
      <c r="L223" s="874"/>
      <c r="M223" s="874"/>
      <c r="N223" s="874"/>
      <c r="O223" s="874"/>
    </row>
    <row r="224" spans="1:15" x14ac:dyDescent="0.25">
      <c r="A224" s="803"/>
      <c r="C224" s="1027"/>
      <c r="F224" s="874"/>
      <c r="G224" s="874"/>
      <c r="H224" s="879"/>
      <c r="I224" s="874"/>
      <c r="J224" s="874"/>
      <c r="L224" s="874"/>
      <c r="M224" s="874"/>
      <c r="N224" s="874"/>
      <c r="O224" s="874"/>
    </row>
    <row r="225" spans="1:15" x14ac:dyDescent="0.25">
      <c r="A225" s="803"/>
      <c r="C225" s="1027"/>
      <c r="F225" s="874"/>
      <c r="G225" s="874"/>
      <c r="H225" s="879"/>
      <c r="I225" s="874"/>
      <c r="J225" s="874"/>
      <c r="L225" s="874"/>
      <c r="M225" s="874"/>
      <c r="N225" s="874"/>
      <c r="O225" s="874"/>
    </row>
    <row r="226" spans="1:15" x14ac:dyDescent="0.25">
      <c r="A226" s="803"/>
      <c r="C226" s="1026"/>
      <c r="F226" s="874"/>
      <c r="G226" s="874"/>
      <c r="H226" s="879"/>
      <c r="I226" s="874"/>
      <c r="J226" s="874"/>
      <c r="L226" s="874"/>
      <c r="M226" s="874"/>
      <c r="N226" s="874"/>
      <c r="O226" s="874"/>
    </row>
    <row r="227" spans="1:15" x14ac:dyDescent="0.25">
      <c r="A227" s="803"/>
      <c r="C227" s="1026"/>
      <c r="F227" s="874"/>
      <c r="G227" s="874"/>
      <c r="H227" s="879"/>
      <c r="I227" s="874"/>
      <c r="J227" s="874"/>
      <c r="L227" s="874"/>
    </row>
    <row r="228" spans="1:15" x14ac:dyDescent="0.25">
      <c r="A228" s="803"/>
      <c r="C228" s="704"/>
      <c r="F228" s="874"/>
      <c r="G228" s="874"/>
      <c r="H228" s="879"/>
      <c r="I228" s="874"/>
      <c r="J228" s="874"/>
      <c r="L228" s="874"/>
    </row>
    <row r="229" spans="1:15" x14ac:dyDescent="0.25">
      <c r="A229" s="803"/>
      <c r="C229" s="704"/>
      <c r="F229" s="874"/>
      <c r="G229" s="874"/>
      <c r="H229" s="879"/>
      <c r="I229" s="874"/>
      <c r="J229" s="874"/>
      <c r="L229" s="874"/>
    </row>
    <row r="230" spans="1:15" x14ac:dyDescent="0.25">
      <c r="A230" s="803"/>
      <c r="C230" s="704"/>
      <c r="F230" s="874"/>
      <c r="G230" s="874"/>
      <c r="H230" s="879"/>
      <c r="I230" s="874"/>
      <c r="J230" s="874"/>
      <c r="M230" s="874"/>
      <c r="N230" s="874"/>
      <c r="O230" s="874"/>
    </row>
    <row r="231" spans="1:15" x14ac:dyDescent="0.25">
      <c r="A231" s="803"/>
      <c r="C231" s="704"/>
      <c r="F231" s="874"/>
      <c r="G231" s="874"/>
      <c r="H231" s="879"/>
      <c r="I231" s="874"/>
      <c r="J231" s="874"/>
      <c r="M231" s="874"/>
      <c r="N231" s="874"/>
      <c r="O231" s="874"/>
    </row>
    <row r="232" spans="1:15" x14ac:dyDescent="0.25">
      <c r="A232" s="803"/>
      <c r="C232" s="704"/>
      <c r="F232" s="874"/>
      <c r="G232" s="874"/>
      <c r="H232" s="879"/>
      <c r="I232" s="874"/>
      <c r="J232" s="874"/>
      <c r="K232" s="874"/>
      <c r="L232" s="874"/>
    </row>
    <row r="233" spans="1:15" x14ac:dyDescent="0.25">
      <c r="A233" s="803"/>
      <c r="C233" s="704"/>
      <c r="F233" s="874"/>
      <c r="G233" s="874"/>
      <c r="H233" s="879"/>
      <c r="J233" s="874"/>
      <c r="K233" s="874"/>
    </row>
    <row r="234" spans="1:15" x14ac:dyDescent="0.25">
      <c r="A234" s="803"/>
      <c r="C234" s="704"/>
      <c r="F234" s="874"/>
      <c r="G234" s="874"/>
      <c r="H234" s="879"/>
      <c r="J234" s="874"/>
      <c r="K234" s="874"/>
    </row>
    <row r="235" spans="1:15" x14ac:dyDescent="0.25">
      <c r="A235" s="803"/>
      <c r="C235" s="704"/>
      <c r="F235" s="874"/>
      <c r="G235" s="874"/>
      <c r="H235" s="879"/>
      <c r="J235" s="874"/>
      <c r="K235" s="874"/>
    </row>
    <row r="236" spans="1:15" x14ac:dyDescent="0.25">
      <c r="A236" s="803"/>
      <c r="C236" s="704"/>
      <c r="F236" s="874"/>
      <c r="G236" s="874"/>
      <c r="H236" s="879"/>
      <c r="J236" s="874"/>
      <c r="K236" s="874"/>
    </row>
    <row r="237" spans="1:15" x14ac:dyDescent="0.25">
      <c r="A237" s="803"/>
      <c r="C237" s="704"/>
      <c r="F237" s="874"/>
      <c r="G237" s="874"/>
      <c r="H237" s="879"/>
      <c r="I237" s="874"/>
    </row>
    <row r="238" spans="1:15" x14ac:dyDescent="0.25">
      <c r="A238" s="803"/>
      <c r="C238" s="704"/>
      <c r="F238" s="874"/>
      <c r="G238" s="874"/>
      <c r="H238" s="879"/>
      <c r="I238" s="874"/>
    </row>
    <row r="239" spans="1:15" x14ac:dyDescent="0.25">
      <c r="A239" s="803"/>
      <c r="C239" s="704"/>
      <c r="F239" s="874"/>
      <c r="G239" s="874"/>
      <c r="H239" s="879"/>
      <c r="I239" s="874"/>
    </row>
    <row r="240" spans="1:15" x14ac:dyDescent="0.25">
      <c r="A240" s="803"/>
      <c r="C240" s="704"/>
      <c r="F240" s="874"/>
      <c r="G240" s="874"/>
      <c r="H240" s="879"/>
      <c r="I240" s="874"/>
    </row>
    <row r="241" spans="1:12" x14ac:dyDescent="0.25">
      <c r="A241" s="803"/>
      <c r="C241" s="704"/>
      <c r="F241" s="874"/>
      <c r="G241" s="874"/>
      <c r="H241" s="879"/>
      <c r="I241" s="874"/>
    </row>
    <row r="242" spans="1:12" x14ac:dyDescent="0.25">
      <c r="C242" s="704"/>
      <c r="F242" s="874"/>
      <c r="G242" s="874"/>
      <c r="H242" s="879"/>
      <c r="I242" s="874"/>
    </row>
    <row r="243" spans="1:12" x14ac:dyDescent="0.25">
      <c r="C243" s="704"/>
      <c r="F243" s="874"/>
      <c r="G243" s="874"/>
      <c r="H243" s="879"/>
      <c r="I243" s="874"/>
    </row>
    <row r="244" spans="1:12" x14ac:dyDescent="0.25">
      <c r="C244" s="704"/>
      <c r="F244" s="874"/>
      <c r="G244" s="874"/>
      <c r="H244" s="879"/>
      <c r="I244" s="874"/>
    </row>
    <row r="245" spans="1:12" x14ac:dyDescent="0.25">
      <c r="C245" s="704"/>
      <c r="F245" s="874"/>
      <c r="G245" s="874"/>
      <c r="H245" s="879"/>
      <c r="I245" s="874"/>
    </row>
    <row r="246" spans="1:12" x14ac:dyDescent="0.25">
      <c r="C246" s="704"/>
      <c r="F246" s="874"/>
      <c r="G246" s="874"/>
      <c r="H246" s="879"/>
      <c r="I246" s="874"/>
    </row>
    <row r="247" spans="1:12" x14ac:dyDescent="0.25">
      <c r="C247" s="704"/>
      <c r="E247" s="876"/>
      <c r="F247" s="874"/>
      <c r="G247" s="874"/>
      <c r="H247" s="879"/>
      <c r="J247" s="874"/>
      <c r="L247" s="874"/>
    </row>
    <row r="248" spans="1:12" x14ac:dyDescent="0.25">
      <c r="C248" s="704"/>
      <c r="E248" s="876"/>
      <c r="F248" s="874"/>
      <c r="G248" s="874"/>
      <c r="H248" s="879"/>
      <c r="J248" s="874"/>
      <c r="K248" s="874"/>
    </row>
    <row r="249" spans="1:12" x14ac:dyDescent="0.25">
      <c r="C249" s="704"/>
      <c r="E249" s="876"/>
      <c r="F249" s="874"/>
      <c r="G249" s="874"/>
      <c r="H249" s="879"/>
      <c r="J249" s="874"/>
      <c r="K249" s="874"/>
    </row>
    <row r="250" spans="1:12" x14ac:dyDescent="0.25">
      <c r="C250" s="704"/>
      <c r="E250" s="876"/>
      <c r="F250" s="874"/>
      <c r="G250" s="874"/>
      <c r="H250" s="879"/>
      <c r="J250" s="874"/>
      <c r="L250" s="874"/>
    </row>
    <row r="251" spans="1:12" x14ac:dyDescent="0.25">
      <c r="A251" s="710"/>
      <c r="C251" s="704"/>
      <c r="F251" s="874"/>
      <c r="H251" s="879"/>
      <c r="L251" s="874"/>
    </row>
    <row r="252" spans="1:12" x14ac:dyDescent="0.25">
      <c r="C252" s="804"/>
      <c r="F252"/>
      <c r="G252" s="874"/>
      <c r="H252" s="879"/>
      <c r="I252" s="874"/>
      <c r="J252" s="874"/>
      <c r="L252" s="874"/>
    </row>
    <row r="253" spans="1:12" x14ac:dyDescent="0.25">
      <c r="A253" s="710"/>
      <c r="C253" s="704"/>
      <c r="H253" s="879"/>
      <c r="I253" s="874"/>
    </row>
    <row r="254" spans="1:12" x14ac:dyDescent="0.25">
      <c r="A254" s="710"/>
      <c r="C254" s="704"/>
      <c r="H254" s="879"/>
      <c r="I254" s="874"/>
    </row>
    <row r="255" spans="1:12" x14ac:dyDescent="0.25">
      <c r="C255" s="704"/>
      <c r="F255" s="874"/>
      <c r="G255" s="874"/>
      <c r="H255" s="879"/>
    </row>
    <row r="256" spans="1:12" x14ac:dyDescent="0.25">
      <c r="C256" s="704"/>
      <c r="F256" s="874"/>
      <c r="G256" s="874"/>
      <c r="H256" s="879"/>
    </row>
    <row r="257" spans="1:13" x14ac:dyDescent="0.25">
      <c r="A257" s="710"/>
      <c r="C257" s="704"/>
      <c r="H257" s="879"/>
      <c r="I257" s="874"/>
      <c r="J257"/>
    </row>
    <row r="258" spans="1:13" x14ac:dyDescent="0.25">
      <c r="A258" s="710"/>
      <c r="C258" s="704"/>
      <c r="F258" s="874"/>
      <c r="G258" s="874"/>
      <c r="H258" s="879"/>
      <c r="I258" s="874"/>
      <c r="J258" s="874"/>
      <c r="K258" s="874"/>
    </row>
    <row r="259" spans="1:13" x14ac:dyDescent="0.25">
      <c r="A259" s="710"/>
      <c r="C259" s="704"/>
      <c r="E259" s="873"/>
      <c r="F259" s="874"/>
      <c r="G259" s="874"/>
      <c r="H259" s="879"/>
      <c r="I259" s="874"/>
      <c r="J259" s="874"/>
      <c r="K259" s="874"/>
      <c r="L259" s="874"/>
    </row>
    <row r="260" spans="1:13" x14ac:dyDescent="0.25">
      <c r="C260" s="704"/>
      <c r="E260" s="876"/>
      <c r="F260" s="874"/>
      <c r="G260" s="874"/>
      <c r="H260" s="879"/>
      <c r="I260" s="874"/>
      <c r="J260" s="874"/>
      <c r="L260" s="874"/>
      <c r="M260" s="874"/>
    </row>
    <row r="261" spans="1:13" x14ac:dyDescent="0.25">
      <c r="C261" s="704"/>
      <c r="F261" s="874"/>
      <c r="H261" s="879"/>
      <c r="I261" s="874"/>
      <c r="J261" s="874"/>
      <c r="L261" s="874"/>
    </row>
    <row r="262" spans="1:13" x14ac:dyDescent="0.25">
      <c r="C262" s="704"/>
      <c r="F262" s="874"/>
      <c r="H262" s="879"/>
      <c r="I262" s="874"/>
      <c r="J262" s="874"/>
      <c r="L262" s="874"/>
    </row>
    <row r="263" spans="1:13" x14ac:dyDescent="0.25">
      <c r="C263" s="704"/>
      <c r="F263" s="874"/>
      <c r="G263" s="874"/>
      <c r="H263" s="879"/>
      <c r="I263" s="874"/>
      <c r="J263" s="874"/>
      <c r="L263" s="874"/>
      <c r="M263" s="874"/>
    </row>
    <row r="264" spans="1:13" x14ac:dyDescent="0.25">
      <c r="C264" s="704"/>
      <c r="F264" s="874"/>
      <c r="H264" s="879"/>
      <c r="I264" s="874"/>
      <c r="J264" s="874"/>
      <c r="L264" s="874"/>
    </row>
    <row r="265" spans="1:13" x14ac:dyDescent="0.25">
      <c r="C265" s="704"/>
      <c r="H265" s="814"/>
      <c r="I265" s="874"/>
    </row>
    <row r="266" spans="1:13" x14ac:dyDescent="0.25">
      <c r="C266" s="704"/>
      <c r="H266" s="814"/>
      <c r="I266" s="874"/>
    </row>
    <row r="267" spans="1:13" x14ac:dyDescent="0.25">
      <c r="C267" s="804"/>
      <c r="D267" s="877"/>
      <c r="F267" s="874"/>
      <c r="G267" s="874"/>
      <c r="H267" s="879"/>
      <c r="I267" s="874"/>
      <c r="J267" s="874"/>
      <c r="K267" s="874"/>
      <c r="L267" s="874"/>
    </row>
    <row r="268" spans="1:13" x14ac:dyDescent="0.25">
      <c r="C268" s="804"/>
      <c r="D268" s="877"/>
      <c r="F268" s="874"/>
      <c r="G268" s="874"/>
      <c r="H268" s="879"/>
      <c r="I268" s="874"/>
      <c r="J268" s="874"/>
      <c r="K268" s="874"/>
      <c r="L268" s="874"/>
    </row>
    <row r="269" spans="1:13" x14ac:dyDescent="0.25">
      <c r="C269" s="704"/>
      <c r="H269" s="879"/>
      <c r="I269" s="874"/>
      <c r="J269" s="874"/>
    </row>
    <row r="270" spans="1:13" x14ac:dyDescent="0.25">
      <c r="C270" s="704"/>
      <c r="F270" s="874"/>
      <c r="G270" s="874"/>
      <c r="H270" s="879"/>
      <c r="I270" s="874"/>
      <c r="J270" s="874"/>
      <c r="L270" s="874"/>
    </row>
    <row r="271" spans="1:13" x14ac:dyDescent="0.25">
      <c r="B271" s="704"/>
      <c r="C271" s="704"/>
      <c r="F271" s="874"/>
      <c r="G271" s="874"/>
      <c r="H271" s="879"/>
      <c r="I271" s="874"/>
      <c r="J271" s="874"/>
      <c r="K271" s="874"/>
    </row>
    <row r="272" spans="1:13" x14ac:dyDescent="0.25">
      <c r="C272" s="704"/>
      <c r="H272" s="814"/>
    </row>
    <row r="273" spans="3:13" x14ac:dyDescent="0.25">
      <c r="C273" s="704"/>
      <c r="H273" s="879"/>
      <c r="I273" s="874"/>
      <c r="J273" s="874"/>
    </row>
    <row r="274" spans="3:13" x14ac:dyDescent="0.25">
      <c r="C274" s="704"/>
      <c r="H274" s="879"/>
      <c r="I274" s="874"/>
      <c r="J274" s="874"/>
    </row>
    <row r="275" spans="3:13" x14ac:dyDescent="0.25">
      <c r="C275" s="704"/>
      <c r="H275" s="814"/>
    </row>
    <row r="276" spans="3:13" x14ac:dyDescent="0.25">
      <c r="C276" s="704"/>
      <c r="G276" s="874"/>
      <c r="H276" s="814"/>
    </row>
    <row r="277" spans="3:13" x14ac:dyDescent="0.25">
      <c r="C277" s="704"/>
      <c r="G277" s="874"/>
      <c r="H277" s="814"/>
    </row>
    <row r="278" spans="3:13" x14ac:dyDescent="0.25">
      <c r="C278" s="704"/>
      <c r="G278" s="874"/>
      <c r="H278" s="814"/>
    </row>
    <row r="279" spans="3:13" x14ac:dyDescent="0.25">
      <c r="C279" s="704"/>
      <c r="G279" s="874"/>
      <c r="H279" s="814"/>
    </row>
    <row r="280" spans="3:13" x14ac:dyDescent="0.25">
      <c r="C280" s="704"/>
      <c r="G280" s="874"/>
      <c r="H280" s="814"/>
      <c r="M280" s="874"/>
    </row>
    <row r="281" spans="3:13" x14ac:dyDescent="0.25">
      <c r="C281" s="704"/>
      <c r="D281" s="1122"/>
      <c r="H281" s="814"/>
    </row>
    <row r="282" spans="3:13" x14ac:dyDescent="0.25">
      <c r="C282" s="704"/>
      <c r="G282" s="874"/>
      <c r="H282" s="814"/>
    </row>
    <row r="283" spans="3:13" x14ac:dyDescent="0.25">
      <c r="C283" s="704"/>
      <c r="H283" s="814"/>
    </row>
    <row r="284" spans="3:13" x14ac:dyDescent="0.25">
      <c r="C284" s="704"/>
      <c r="H284" s="814"/>
    </row>
    <row r="285" spans="3:13" x14ac:dyDescent="0.25">
      <c r="C285" s="704"/>
      <c r="H285" s="814"/>
    </row>
    <row r="286" spans="3:13" x14ac:dyDescent="0.25">
      <c r="C286" s="704"/>
      <c r="H286" s="814"/>
    </row>
    <row r="287" spans="3:13" x14ac:dyDescent="0.25">
      <c r="C287" s="704"/>
      <c r="H287" s="814"/>
    </row>
    <row r="288" spans="3:13" x14ac:dyDescent="0.25">
      <c r="C288" s="704"/>
      <c r="H288" s="814"/>
    </row>
    <row r="289" spans="3:10" x14ac:dyDescent="0.25">
      <c r="C289" s="704"/>
      <c r="H289" s="879"/>
      <c r="I289" s="874"/>
      <c r="J289" s="874"/>
    </row>
    <row r="290" spans="3:10" x14ac:dyDescent="0.25">
      <c r="C290" s="704"/>
      <c r="H290" s="879"/>
      <c r="I290" s="874"/>
      <c r="J290" s="874"/>
    </row>
  </sheetData>
  <conditionalFormatting sqref="K1 K265 K272:K1048576">
    <cfRule type="cellIs" dxfId="15" priority="6" operator="equal">
      <formula>"OUI"</formula>
    </cfRule>
  </conditionalFormatting>
  <conditionalFormatting sqref="K268:K271">
    <cfRule type="cellIs" dxfId="14" priority="1" operator="equal">
      <formula>"OUI"</formula>
    </cfRule>
  </conditionalFormatting>
  <conditionalFormatting sqref="L2:L96">
    <cfRule type="cellIs" dxfId="13" priority="5" operator="equal">
      <formula>"OUI"</formula>
    </cfRule>
  </conditionalFormatting>
  <conditionalFormatting sqref="L98:L264">
    <cfRule type="cellIs" dxfId="12" priority="3" operator="equal">
      <formula>"OUI"</formula>
    </cfRule>
  </conditionalFormatting>
  <conditionalFormatting sqref="L266:L267">
    <cfRule type="cellIs" dxfId="11" priority="4" operator="equal">
      <formula>"OUI"</formula>
    </cfRule>
  </conditionalFormatting>
  <conditionalFormatting sqref="L270">
    <cfRule type="cellIs" dxfId="10" priority="2" operator="equal">
      <formula>"OUI"</formula>
    </cfRule>
  </conditionalFormatting>
  <pageMargins left="0.7" right="0.7" top="0.75" bottom="0.75" header="0.3" footer="0.3"/>
  <pageSetup paperSize="9" orientation="portrait"/>
  <headerFooter>
    <oddFooter>&amp;C&amp;1#&amp;"Calibri"&amp;10&amp;K000000Usage Interne / Internal Use</oddFooter>
  </headerFooter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2278F2F-A63C-4DF4-BAF9-CA20E9771BD8}">
          <x14:formula1>
            <xm:f>'Rapport 3 - balance analytique'!$P$13:$P$16</xm:f>
          </x14:formula1>
          <xm:sqref>H3:H1048576</xm:sqref>
        </x14:dataValidation>
        <x14:dataValidation type="list" allowBlank="1" showInputMessage="1" showErrorMessage="1" xr:uid="{D6284E60-D213-4925-9F52-04112BB50277}">
          <x14:formula1>
            <xm:f>'Soldes banque'!$O:$O</xm:f>
          </x14:formula1>
          <xm:sqref>D3:D290</xm:sqref>
        </x14:dataValidation>
        <x14:dataValidation type="list" allowBlank="1" showInputMessage="1" showErrorMessage="1" xr:uid="{50DB8C1B-55A2-4A99-847F-C570ABE82293}">
          <x14:formula1>
            <xm:f>'Rapport 3 - balance analytique'!$R$13:$R$1048576</xm:f>
          </x14:formula1>
          <xm:sqref>J171:J172 J201:J229 J181:J199 J178:J179 J3:J169 J232:J1048576</xm:sqref>
        </x14:dataValidation>
        <x14:dataValidation type="list" allowBlank="1" showInputMessage="1" showErrorMessage="1" xr:uid="{FDDA910A-6D7C-4927-8ADF-571CF140C4D1}">
          <x14:formula1>
            <xm:f>'Rapport 3 - balance analytique'!$Q$13:$Q$19</xm:f>
          </x14:formula1>
          <xm:sqref>I170:J170 J230:J231 I200:J200 I180:J180 J173:J177 I181:I199 I171:I179 I3:I169 I201:I1048576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R67"/>
  <sheetViews>
    <sheetView topLeftCell="A46" zoomScale="113" workbookViewId="0">
      <selection activeCell="K51" sqref="K51"/>
    </sheetView>
  </sheetViews>
  <sheetFormatPr defaultColWidth="9.140625" defaultRowHeight="15" x14ac:dyDescent="0.25"/>
  <cols>
    <col min="1" max="1" width="9.140625" style="699"/>
    <col min="2" max="2" width="0" style="699" hidden="1" customWidth="1"/>
    <col min="3" max="4" width="2.85546875" style="699" customWidth="1"/>
    <col min="5" max="5" width="14.85546875" style="586" customWidth="1"/>
    <col min="6" max="6" width="21.28515625" style="699" hidden="1" customWidth="1"/>
    <col min="7" max="7" width="26" style="699" customWidth="1"/>
    <col min="8" max="8" width="11.42578125" style="699" customWidth="1"/>
    <col min="9" max="9" width="21.7109375" style="699" bestFit="1" customWidth="1"/>
    <col min="10" max="10" width="28.5703125" style="699" customWidth="1"/>
    <col min="11" max="11" width="23.28515625" style="699" customWidth="1"/>
    <col min="12" max="12" width="12.5703125" style="699" bestFit="1" customWidth="1"/>
    <col min="13" max="13" width="36.7109375" style="699" bestFit="1" customWidth="1"/>
    <col min="14" max="16384" width="9.140625" style="699"/>
  </cols>
  <sheetData>
    <row r="1" spans="1:18" x14ac:dyDescent="0.25">
      <c r="F1" s="874"/>
      <c r="G1" s="586">
        <f>SUMIF(A:A,"2024",E:E)</f>
        <v>0</v>
      </c>
      <c r="I1" s="874" t="s">
        <v>19</v>
      </c>
      <c r="J1" s="586">
        <f>SUBTOTAL(109,E:E)</f>
        <v>3659.9900000000016</v>
      </c>
      <c r="L1" s="699" t="s">
        <v>343</v>
      </c>
      <c r="M1" s="1121">
        <f>SUMIF(M3:M2504,N1,E3:E2504)/10</f>
        <v>5109</v>
      </c>
      <c r="N1" s="1120" t="s">
        <v>53</v>
      </c>
    </row>
    <row r="2" spans="1:18" x14ac:dyDescent="0.25">
      <c r="A2" s="699" t="s">
        <v>324</v>
      </c>
      <c r="B2" s="874" t="s">
        <v>344</v>
      </c>
      <c r="C2" s="699" t="s">
        <v>345</v>
      </c>
      <c r="D2" s="699" t="s">
        <v>346</v>
      </c>
      <c r="E2" s="586" t="s">
        <v>347</v>
      </c>
      <c r="F2" s="699" t="s">
        <v>358</v>
      </c>
      <c r="G2" s="874" t="s">
        <v>349</v>
      </c>
      <c r="H2" s="879" t="s">
        <v>350</v>
      </c>
      <c r="I2" s="874" t="s">
        <v>351</v>
      </c>
      <c r="J2" s="699" t="s">
        <v>352</v>
      </c>
      <c r="K2" s="699" t="s">
        <v>353</v>
      </c>
      <c r="L2" s="699" t="s">
        <v>329</v>
      </c>
      <c r="M2" s="699" t="s">
        <v>354</v>
      </c>
      <c r="N2" s="874" t="s">
        <v>355</v>
      </c>
      <c r="O2" s="874" t="s">
        <v>356</v>
      </c>
      <c r="P2" s="699" t="s">
        <v>357</v>
      </c>
      <c r="Q2" s="1240" t="s">
        <v>847</v>
      </c>
      <c r="R2" s="1240" t="s">
        <v>848</v>
      </c>
    </row>
    <row r="3" spans="1:18" x14ac:dyDescent="0.25">
      <c r="A3" s="699">
        <v>2025</v>
      </c>
      <c r="B3" s="699">
        <v>95</v>
      </c>
      <c r="C3" s="704"/>
      <c r="E3" s="586">
        <v>-70</v>
      </c>
      <c r="F3" s="874"/>
      <c r="G3" s="874" t="s">
        <v>359</v>
      </c>
      <c r="H3" s="879" t="s">
        <v>335</v>
      </c>
      <c r="I3" s="874" t="s">
        <v>360</v>
      </c>
      <c r="J3" s="874" t="s">
        <v>361</v>
      </c>
      <c r="K3" s="874"/>
      <c r="L3" s="874" t="s">
        <v>330</v>
      </c>
      <c r="M3" s="1024" t="s">
        <v>141</v>
      </c>
      <c r="N3" s="699">
        <f>IF(BP[[#This Row],[Montant]]&gt;0,BP[[#This Row],[Montant]],0)</f>
        <v>0</v>
      </c>
      <c r="O3" s="699">
        <f>IF(BP[[#This Row],[Montant]]&lt;0,-BP[[#This Row],[Montant]],0)</f>
        <v>70</v>
      </c>
      <c r="P3" s="699" t="str">
        <f>IFERROR(VLOOKUP(BP[[#This Row],[projet]],'Listes détails'!A:I,9,0),"")</f>
        <v/>
      </c>
      <c r="Q3" s="699" t="str">
        <f>VLOOKUP(BP[[#This Row],[Compta]],'Budget CR'!B:B,1,0)</f>
        <v>Cotisations autres associations</v>
      </c>
      <c r="R3" s="699" t="e">
        <f>VLOOKUP(BP[[#This Row],[Compta]],'Budget CR'!G:G,1,0)</f>
        <v>#N/A</v>
      </c>
    </row>
    <row r="4" spans="1:18" x14ac:dyDescent="0.25">
      <c r="A4" s="699">
        <v>2025</v>
      </c>
      <c r="C4" s="704"/>
      <c r="E4" s="586">
        <v>-350</v>
      </c>
      <c r="F4" s="874"/>
      <c r="G4" s="874" t="s">
        <v>362</v>
      </c>
      <c r="H4" s="879" t="s">
        <v>335</v>
      </c>
      <c r="I4" s="874" t="s">
        <v>363</v>
      </c>
      <c r="J4" s="874" t="s">
        <v>362</v>
      </c>
      <c r="K4" s="874"/>
      <c r="L4" s="874" t="s">
        <v>330</v>
      </c>
      <c r="M4" s="1024" t="s">
        <v>148</v>
      </c>
      <c r="N4" s="699">
        <f>IF(BP[[#This Row],[Montant]]&gt;0,BP[[#This Row],[Montant]],0)</f>
        <v>0</v>
      </c>
      <c r="O4" s="699">
        <f>IF(BP[[#This Row],[Montant]]&lt;0,-BP[[#This Row],[Montant]],0)</f>
        <v>350</v>
      </c>
      <c r="P4" s="699" t="e">
        <f>VLOOKUP(BP[[#This Row],[projet]],'Listes détails'!A:I,9,0)</f>
        <v>#N/A</v>
      </c>
      <c r="Q4" s="699" t="str">
        <f>VLOOKUP(BP[[#This Row],[Compta]],'Budget CR'!B:B,1,0)</f>
        <v>Cotisations payées au siège</v>
      </c>
      <c r="R4" s="699" t="e">
        <f>VLOOKUP(BP[[#This Row],[Compta]],'Budget CR'!G:G,1,0)</f>
        <v>#N/A</v>
      </c>
    </row>
    <row r="5" spans="1:18" x14ac:dyDescent="0.25">
      <c r="A5" s="699">
        <v>2025</v>
      </c>
      <c r="C5" s="704"/>
      <c r="E5" s="586">
        <v>350</v>
      </c>
      <c r="F5" s="874"/>
      <c r="G5" s="874" t="s">
        <v>362</v>
      </c>
      <c r="H5" s="879" t="s">
        <v>335</v>
      </c>
      <c r="I5" s="874" t="s">
        <v>363</v>
      </c>
      <c r="J5" s="874" t="s">
        <v>362</v>
      </c>
      <c r="K5" s="874"/>
      <c r="L5" s="874" t="s">
        <v>330</v>
      </c>
      <c r="M5" s="1024" t="s">
        <v>74</v>
      </c>
      <c r="N5" s="699">
        <f>IF(BP[[#This Row],[Montant]]&gt;0,BP[[#This Row],[Montant]],0)</f>
        <v>350</v>
      </c>
      <c r="O5" s="699">
        <f>IF(BP[[#This Row],[Montant]]&lt;0,-BP[[#This Row],[Montant]],0)</f>
        <v>0</v>
      </c>
      <c r="P5" s="699" t="e">
        <f>VLOOKUP(BP[[#This Row],[projet]],'Listes détails'!A:I,9,0)</f>
        <v>#N/A</v>
      </c>
      <c r="Q5" s="699" t="e">
        <f>VLOOKUP(BP[[#This Row],[Compta]],'Budget CR'!B:B,1,0)</f>
        <v>#N/A</v>
      </c>
      <c r="R5" s="699" t="str">
        <f>VLOOKUP(BP[[#This Row],[Compta]],'Budget CR'!G:G,1,0)</f>
        <v>Cotisations des adhérents</v>
      </c>
    </row>
    <row r="6" spans="1:18" x14ac:dyDescent="0.25">
      <c r="A6" s="699">
        <v>2025</v>
      </c>
      <c r="C6" s="704"/>
      <c r="E6" s="586">
        <v>-3000</v>
      </c>
      <c r="F6" s="874"/>
      <c r="G6" s="874" t="s">
        <v>384</v>
      </c>
      <c r="H6" s="879" t="s">
        <v>365</v>
      </c>
      <c r="I6" s="874" t="s">
        <v>366</v>
      </c>
      <c r="J6" s="874" t="s">
        <v>376</v>
      </c>
      <c r="K6" s="874"/>
      <c r="L6" s="874" t="s">
        <v>330</v>
      </c>
      <c r="M6" s="1024" t="s">
        <v>109</v>
      </c>
      <c r="N6" s="699">
        <f>IF(BP[[#This Row],[Montant]]&gt;0,BP[[#This Row],[Montant]],0)</f>
        <v>0</v>
      </c>
      <c r="O6" s="699">
        <f>IF(BP[[#This Row],[Montant]]&lt;0,-BP[[#This Row],[Montant]],0)</f>
        <v>3000</v>
      </c>
      <c r="P6" s="699" t="e">
        <f>VLOOKUP(BP[[#This Row],[projet]],'Listes détails'!A:I,9,0)</f>
        <v>#N/A</v>
      </c>
      <c r="Q6" s="699" t="str">
        <f>VLOOKUP(BP[[#This Row],[Compta]],'Budget CR'!B:B,1,0)</f>
        <v>Locations terrains et centres EEDF</v>
      </c>
      <c r="R6" s="699" t="e">
        <f>VLOOKUP(BP[[#This Row],[Compta]],'Budget CR'!G:G,1,0)</f>
        <v>#N/A</v>
      </c>
    </row>
    <row r="7" spans="1:18" x14ac:dyDescent="0.25">
      <c r="A7" s="699">
        <v>2025</v>
      </c>
      <c r="C7" s="704"/>
      <c r="E7" s="586">
        <f>-10*6*25</f>
        <v>-1500</v>
      </c>
      <c r="F7" s="874"/>
      <c r="G7" s="874" t="s">
        <v>364</v>
      </c>
      <c r="H7" s="879" t="s">
        <v>365</v>
      </c>
      <c r="I7" s="874" t="s">
        <v>366</v>
      </c>
      <c r="J7" s="874" t="s">
        <v>376</v>
      </c>
      <c r="K7" s="874" t="s">
        <v>367</v>
      </c>
      <c r="L7" s="874" t="s">
        <v>330</v>
      </c>
      <c r="M7" s="1024" t="s">
        <v>106</v>
      </c>
      <c r="N7" s="699">
        <f>IF(BP[[#This Row],[Montant]]&gt;0,BP[[#This Row],[Montant]],0)</f>
        <v>0</v>
      </c>
      <c r="O7" s="699">
        <f>IF(BP[[#This Row],[Montant]]&lt;0,-BP[[#This Row],[Montant]],0)</f>
        <v>1500</v>
      </c>
      <c r="P7" s="699" t="e">
        <f>VLOOKUP(BP[[#This Row],[projet]],'Listes détails'!A:I,9,0)</f>
        <v>#N/A</v>
      </c>
      <c r="Q7" s="699" t="str">
        <f>VLOOKUP(BP[[#This Row],[Compta]],'Budget CR'!B:B,1,0)</f>
        <v>Achats denrées alimentaires</v>
      </c>
      <c r="R7" s="699" t="e">
        <f>VLOOKUP(BP[[#This Row],[Compta]],'Budget CR'!G:G,1,0)</f>
        <v>#N/A</v>
      </c>
    </row>
    <row r="8" spans="1:18" x14ac:dyDescent="0.25">
      <c r="A8" s="699">
        <v>2025</v>
      </c>
      <c r="C8" s="704"/>
      <c r="E8" s="586">
        <f>100*-15</f>
        <v>-1500</v>
      </c>
      <c r="F8" s="874"/>
      <c r="G8" s="874" t="s">
        <v>381</v>
      </c>
      <c r="H8" s="879" t="s">
        <v>365</v>
      </c>
      <c r="I8" s="874" t="s">
        <v>366</v>
      </c>
      <c r="J8" s="874" t="s">
        <v>376</v>
      </c>
      <c r="K8" s="874" t="s">
        <v>846</v>
      </c>
      <c r="L8" s="874" t="s">
        <v>330</v>
      </c>
      <c r="M8" s="1024" t="s">
        <v>153</v>
      </c>
      <c r="N8" s="699">
        <f>IF(BP[[#This Row],[Montant]]&gt;0,BP[[#This Row],[Montant]],0)</f>
        <v>0</v>
      </c>
      <c r="O8" s="699">
        <f>IF(BP[[#This Row],[Montant]]&lt;0,-BP[[#This Row],[Montant]],0)</f>
        <v>1500</v>
      </c>
      <c r="P8" s="699" t="e">
        <f>VLOOKUP(BP[[#This Row],[projet]],'Listes détails'!A:I,9,0)</f>
        <v>#N/A</v>
      </c>
      <c r="Q8" s="699" t="str">
        <f>VLOOKUP(BP[[#This Row],[Compta]],'Budget CR'!B:B,1,0)</f>
        <v>Aides versées aux structures EEDF</v>
      </c>
      <c r="R8" s="699" t="e">
        <f>VLOOKUP(BP[[#This Row],[Compta]],'Budget CR'!G:G,1,0)</f>
        <v>#N/A</v>
      </c>
    </row>
    <row r="9" spans="1:18" x14ac:dyDescent="0.25">
      <c r="A9" s="699">
        <v>2025</v>
      </c>
      <c r="C9" s="704"/>
      <c r="E9" s="586">
        <v>-500</v>
      </c>
      <c r="F9" s="874"/>
      <c r="G9" s="874" t="s">
        <v>390</v>
      </c>
      <c r="H9" s="879" t="s">
        <v>365</v>
      </c>
      <c r="I9" s="874" t="s">
        <v>366</v>
      </c>
      <c r="J9" s="874" t="s">
        <v>376</v>
      </c>
      <c r="K9" s="874"/>
      <c r="L9" s="874" t="s">
        <v>330</v>
      </c>
      <c r="M9" s="1024" t="s">
        <v>120</v>
      </c>
      <c r="N9" s="699">
        <f>IF(BP[[#This Row],[Montant]]&gt;0,BP[[#This Row],[Montant]],0)</f>
        <v>0</v>
      </c>
      <c r="O9" s="699">
        <f>IF(BP[[#This Row],[Montant]]&lt;0,-BP[[#This Row],[Montant]],0)</f>
        <v>500</v>
      </c>
      <c r="P9" s="699" t="str">
        <f>IFERROR(VLOOKUP(BP[[#This Row],[projet]],'Listes détails'!A:I,9,0),"")</f>
        <v/>
      </c>
      <c r="Q9" s="699" t="str">
        <f>VLOOKUP(BP[[#This Row],[Compta]],'Budget CR'!B:B,1,0)</f>
        <v>Fournitures éducatives et pédagogiques</v>
      </c>
      <c r="R9" s="699" t="e">
        <f>VLOOKUP(BP[[#This Row],[Compta]],'Budget CR'!G:G,1,0)</f>
        <v>#N/A</v>
      </c>
    </row>
    <row r="10" spans="1:18" x14ac:dyDescent="0.25">
      <c r="A10" s="699">
        <v>2025</v>
      </c>
      <c r="C10" s="704"/>
      <c r="E10" s="586">
        <f>14*475</f>
        <v>6650</v>
      </c>
      <c r="F10" s="874"/>
      <c r="G10" s="874" t="s">
        <v>387</v>
      </c>
      <c r="H10" s="879" t="s">
        <v>365</v>
      </c>
      <c r="I10" s="874" t="s">
        <v>366</v>
      </c>
      <c r="J10" s="874" t="s">
        <v>376</v>
      </c>
      <c r="K10" s="874" t="s">
        <v>388</v>
      </c>
      <c r="L10" s="874" t="s">
        <v>330</v>
      </c>
      <c r="M10" s="1024" t="s">
        <v>53</v>
      </c>
      <c r="N10" s="699">
        <f>IF(BP[[#This Row],[Montant]]&gt;0,BP[[#This Row],[Montant]],0)</f>
        <v>6650</v>
      </c>
      <c r="O10" s="699">
        <f>IF(BP[[#This Row],[Montant]]&lt;0,-BP[[#This Row],[Montant]],0)</f>
        <v>0</v>
      </c>
      <c r="P10" s="699" t="e">
        <f>VLOOKUP(BP[[#This Row],[projet]],'Listes détails'!A:I,9,0)</f>
        <v>#N/A</v>
      </c>
      <c r="Q10" s="699" t="e">
        <f>VLOOKUP(BP[[#This Row],[Compta]],'Budget CR'!B:B,1,0)</f>
        <v>#N/A</v>
      </c>
      <c r="R10" s="699" t="str">
        <f>VLOOKUP(BP[[#This Row],[Compta]],'Budget CR'!G:G,1,0)</f>
        <v>Participation aux camps, activités</v>
      </c>
    </row>
    <row r="11" spans="1:18" x14ac:dyDescent="0.25">
      <c r="A11" s="699">
        <v>2025</v>
      </c>
      <c r="B11" s="699">
        <v>114</v>
      </c>
      <c r="C11" s="704"/>
      <c r="E11" s="586">
        <v>-3000</v>
      </c>
      <c r="F11" s="874"/>
      <c r="G11" s="874" t="s">
        <v>384</v>
      </c>
      <c r="H11" s="879" t="s">
        <v>365</v>
      </c>
      <c r="I11" s="874" t="s">
        <v>366</v>
      </c>
      <c r="J11" s="874" t="s">
        <v>332</v>
      </c>
      <c r="K11" s="874"/>
      <c r="L11" s="874" t="s">
        <v>330</v>
      </c>
      <c r="M11" s="1024" t="s">
        <v>109</v>
      </c>
      <c r="N11" s="699">
        <f>IF(BP[[#This Row],[Montant]]&gt;0,BP[[#This Row],[Montant]],0)</f>
        <v>0</v>
      </c>
      <c r="O11" s="699">
        <f>IF(BP[[#This Row],[Montant]]&lt;0,-BP[[#This Row],[Montant]],0)</f>
        <v>3000</v>
      </c>
      <c r="P11" s="699" t="str">
        <f>IFERROR(VLOOKUP(BP[[#This Row],[projet]],'Listes détails'!A:I,9,0),"")</f>
        <v>Formations BAFA-BAFD</v>
      </c>
      <c r="Q11" s="699" t="str">
        <f>VLOOKUP(BP[[#This Row],[Compta]],'Budget CR'!B:B,1,0)</f>
        <v>Locations terrains et centres EEDF</v>
      </c>
      <c r="R11" s="699" t="e">
        <f>VLOOKUP(BP[[#This Row],[Compta]],'Budget CR'!G:G,1,0)</f>
        <v>#N/A</v>
      </c>
    </row>
    <row r="12" spans="1:18" x14ac:dyDescent="0.25">
      <c r="A12" s="699">
        <v>2025</v>
      </c>
      <c r="B12" s="699">
        <v>90</v>
      </c>
      <c r="C12" s="704"/>
      <c r="E12" s="586">
        <f>-10*6*25</f>
        <v>-1500</v>
      </c>
      <c r="F12" s="874"/>
      <c r="G12" s="874" t="s">
        <v>364</v>
      </c>
      <c r="H12" s="879" t="s">
        <v>365</v>
      </c>
      <c r="I12" s="874" t="s">
        <v>366</v>
      </c>
      <c r="J12" s="874" t="s">
        <v>332</v>
      </c>
      <c r="K12" s="874" t="s">
        <v>367</v>
      </c>
      <c r="L12" s="874" t="s">
        <v>330</v>
      </c>
      <c r="M12" s="1024" t="s">
        <v>106</v>
      </c>
      <c r="N12" s="699">
        <f>IF(BP[[#This Row],[Montant]]&gt;0,BP[[#This Row],[Montant]],0)</f>
        <v>0</v>
      </c>
      <c r="O12" s="699">
        <f>IF(BP[[#This Row],[Montant]]&lt;0,-BP[[#This Row],[Montant]],0)</f>
        <v>1500</v>
      </c>
      <c r="P12" s="699" t="str">
        <f>IFERROR(VLOOKUP(BP[[#This Row],[projet]],'Listes détails'!A:I,9,0),"")</f>
        <v>Formations BAFA-BAFD</v>
      </c>
      <c r="Q12" s="699" t="str">
        <f>VLOOKUP(BP[[#This Row],[Compta]],'Budget CR'!B:B,1,0)</f>
        <v>Achats denrées alimentaires</v>
      </c>
      <c r="R12" s="699" t="e">
        <f>VLOOKUP(BP[[#This Row],[Compta]],'Budget CR'!G:G,1,0)</f>
        <v>#N/A</v>
      </c>
    </row>
    <row r="13" spans="1:18" x14ac:dyDescent="0.25">
      <c r="A13" s="699">
        <v>2025</v>
      </c>
      <c r="B13" s="699">
        <v>103</v>
      </c>
      <c r="C13" s="704"/>
      <c r="E13" s="586">
        <f>100*-15</f>
        <v>-1500</v>
      </c>
      <c r="F13" s="874"/>
      <c r="G13" s="874" t="s">
        <v>381</v>
      </c>
      <c r="H13" s="879" t="s">
        <v>365</v>
      </c>
      <c r="I13" s="874" t="s">
        <v>366</v>
      </c>
      <c r="J13" s="874" t="s">
        <v>332</v>
      </c>
      <c r="K13" s="874" t="s">
        <v>846</v>
      </c>
      <c r="L13" s="874" t="s">
        <v>330</v>
      </c>
      <c r="M13" s="1024" t="s">
        <v>153</v>
      </c>
      <c r="N13" s="699">
        <f>IF(BP[[#This Row],[Montant]]&gt;0,BP[[#This Row],[Montant]],0)</f>
        <v>0</v>
      </c>
      <c r="O13" s="699">
        <f>IF(BP[[#This Row],[Montant]]&lt;0,-BP[[#This Row],[Montant]],0)</f>
        <v>1500</v>
      </c>
      <c r="P13" s="699" t="str">
        <f>IFERROR(VLOOKUP(BP[[#This Row],[projet]],'Listes détails'!A:I,9,0),"")</f>
        <v>Formations BAFA-BAFD</v>
      </c>
      <c r="Q13" s="699" t="str">
        <f>VLOOKUP(BP[[#This Row],[Compta]],'Budget CR'!B:B,1,0)</f>
        <v>Aides versées aux structures EEDF</v>
      </c>
      <c r="R13" s="699" t="e">
        <f>VLOOKUP(BP[[#This Row],[Compta]],'Budget CR'!G:G,1,0)</f>
        <v>#N/A</v>
      </c>
    </row>
    <row r="14" spans="1:18" x14ac:dyDescent="0.25">
      <c r="A14" s="699">
        <v>2025</v>
      </c>
      <c r="B14" s="699">
        <v>89</v>
      </c>
      <c r="C14" s="704"/>
      <c r="E14" s="586">
        <v>-500</v>
      </c>
      <c r="F14" s="874"/>
      <c r="G14" s="874" t="s">
        <v>390</v>
      </c>
      <c r="H14" s="879" t="s">
        <v>365</v>
      </c>
      <c r="I14" s="874" t="s">
        <v>366</v>
      </c>
      <c r="J14" s="874" t="s">
        <v>332</v>
      </c>
      <c r="K14" s="874"/>
      <c r="L14" s="874" t="s">
        <v>330</v>
      </c>
      <c r="M14" s="1024" t="s">
        <v>120</v>
      </c>
      <c r="N14" s="699">
        <f>IF(BP[[#This Row],[Montant]]&gt;0,BP[[#This Row],[Montant]],0)</f>
        <v>0</v>
      </c>
      <c r="O14" s="699">
        <f>IF(BP[[#This Row],[Montant]]&lt;0,-BP[[#This Row],[Montant]],0)</f>
        <v>500</v>
      </c>
      <c r="P14" s="699" t="str">
        <f>IFERROR(VLOOKUP(BP[[#This Row],[projet]],'Listes détails'!A:I,9,0),"")</f>
        <v>Formations BAFA-BAFD</v>
      </c>
      <c r="Q14" s="699" t="str">
        <f>VLOOKUP(BP[[#This Row],[Compta]],'Budget CR'!B:B,1,0)</f>
        <v>Fournitures éducatives et pédagogiques</v>
      </c>
      <c r="R14" s="699" t="e">
        <f>VLOOKUP(BP[[#This Row],[Compta]],'Budget CR'!G:G,1,0)</f>
        <v>#N/A</v>
      </c>
    </row>
    <row r="15" spans="1:18" x14ac:dyDescent="0.25">
      <c r="A15" s="699">
        <v>2025</v>
      </c>
      <c r="B15" s="699">
        <v>23</v>
      </c>
      <c r="C15" s="704"/>
      <c r="E15" s="586">
        <f>14*535</f>
        <v>7490</v>
      </c>
      <c r="F15" s="874"/>
      <c r="G15" s="874" t="s">
        <v>387</v>
      </c>
      <c r="H15" s="879" t="s">
        <v>365</v>
      </c>
      <c r="I15" s="874" t="s">
        <v>366</v>
      </c>
      <c r="J15" s="874" t="s">
        <v>332</v>
      </c>
      <c r="K15" s="874" t="s">
        <v>389</v>
      </c>
      <c r="L15" s="874" t="s">
        <v>330</v>
      </c>
      <c r="M15" s="1024" t="s">
        <v>53</v>
      </c>
      <c r="N15" s="699">
        <f>IF(BP[[#This Row],[Montant]]&gt;0,BP[[#This Row],[Montant]],0)</f>
        <v>7490</v>
      </c>
      <c r="O15" s="699">
        <f>IF(BP[[#This Row],[Montant]]&lt;0,-BP[[#This Row],[Montant]],0)</f>
        <v>0</v>
      </c>
      <c r="P15" s="699" t="str">
        <f>IFERROR(VLOOKUP(BP[[#This Row],[projet]],'Listes détails'!A:I,9,0),"")</f>
        <v>Formations BAFA-BAFD</v>
      </c>
      <c r="Q15" s="699" t="e">
        <f>VLOOKUP(BP[[#This Row],[Compta]],'Budget CR'!B:B,1,0)</f>
        <v>#N/A</v>
      </c>
      <c r="R15" s="699" t="str">
        <f>VLOOKUP(BP[[#This Row],[Compta]],'Budget CR'!G:G,1,0)</f>
        <v>Participation aux camps, activités</v>
      </c>
    </row>
    <row r="16" spans="1:18" x14ac:dyDescent="0.25">
      <c r="A16" s="699">
        <v>2025</v>
      </c>
      <c r="B16" s="699">
        <v>30</v>
      </c>
      <c r="C16" s="704"/>
      <c r="E16" s="586">
        <v>-63.6</v>
      </c>
      <c r="F16" s="874"/>
      <c r="G16" s="874" t="s">
        <v>382</v>
      </c>
      <c r="H16" s="879" t="s">
        <v>335</v>
      </c>
      <c r="I16" s="874" t="s">
        <v>360</v>
      </c>
      <c r="J16" s="874" t="s">
        <v>383</v>
      </c>
      <c r="K16" s="874"/>
      <c r="L16" s="874" t="s">
        <v>330</v>
      </c>
      <c r="M16" s="1024" t="s">
        <v>140</v>
      </c>
      <c r="N16" s="699">
        <f>IF(BP[[#This Row],[Montant]]&gt;0,BP[[#This Row],[Montant]],0)</f>
        <v>0</v>
      </c>
      <c r="O16" s="699">
        <f>IF(BP[[#This Row],[Montant]]&lt;0,-BP[[#This Row],[Montant]],0)</f>
        <v>63.6</v>
      </c>
      <c r="P16" s="699" t="str">
        <f>IFERROR(VLOOKUP(BP[[#This Row],[projet]],'Listes détails'!A:I,9,0),"")</f>
        <v/>
      </c>
      <c r="Q16" s="699" t="str">
        <f>VLOOKUP(BP[[#This Row],[Compta]],'Budget CR'!B:B,1,0)</f>
        <v>Services bancaires</v>
      </c>
      <c r="R16" s="699" t="e">
        <f>VLOOKUP(BP[[#This Row],[Compta]],'Budget CR'!G:G,1,0)</f>
        <v>#N/A</v>
      </c>
    </row>
    <row r="17" spans="1:18" x14ac:dyDescent="0.25">
      <c r="A17" s="699">
        <v>2025</v>
      </c>
      <c r="B17" s="699">
        <v>27</v>
      </c>
      <c r="C17" s="704"/>
      <c r="E17" s="586">
        <v>-733.55</v>
      </c>
      <c r="F17" s="874"/>
      <c r="G17" s="874" t="s">
        <v>229</v>
      </c>
      <c r="H17" s="879" t="s">
        <v>335</v>
      </c>
      <c r="I17" s="874" t="s">
        <v>377</v>
      </c>
      <c r="J17" s="874" t="s">
        <v>333</v>
      </c>
      <c r="K17" s="874" t="s">
        <v>229</v>
      </c>
      <c r="L17" s="874" t="s">
        <v>330</v>
      </c>
      <c r="M17" s="1024" t="s">
        <v>130</v>
      </c>
      <c r="N17" s="699">
        <f>IF(BP[[#This Row],[Montant]]&gt;0,BP[[#This Row],[Montant]],0)</f>
        <v>0</v>
      </c>
      <c r="O17" s="699">
        <f>IF(BP[[#This Row],[Montant]]&lt;0,-BP[[#This Row],[Montant]],0)</f>
        <v>733.55</v>
      </c>
      <c r="P17" s="699" t="str">
        <f>IFERROR(VLOOKUP(BP[[#This Row],[projet]],'Listes détails'!A:I,9,0),"")</f>
        <v>Autres activités</v>
      </c>
      <c r="Q17" s="699" t="str">
        <f>VLOOKUP(BP[[#This Row],[Compta]],'Budget CR'!B:B,1,0)</f>
        <v>Primes d'assurance</v>
      </c>
      <c r="R17" s="699" t="e">
        <f>VLOOKUP(BP[[#This Row],[Compta]],'Budget CR'!G:G,1,0)</f>
        <v>#N/A</v>
      </c>
    </row>
    <row r="18" spans="1:18" x14ac:dyDescent="0.25">
      <c r="A18" s="699">
        <v>2025</v>
      </c>
      <c r="C18" s="704"/>
      <c r="E18" s="586">
        <v>-500</v>
      </c>
      <c r="F18" s="874"/>
      <c r="G18" s="874" t="s">
        <v>216</v>
      </c>
      <c r="H18" s="879" t="s">
        <v>335</v>
      </c>
      <c r="I18" s="874" t="s">
        <v>377</v>
      </c>
      <c r="J18" s="874" t="s">
        <v>333</v>
      </c>
      <c r="K18" s="874"/>
      <c r="L18" s="874" t="s">
        <v>330</v>
      </c>
      <c r="M18" s="1024" t="s">
        <v>129</v>
      </c>
      <c r="N18" s="699">
        <f>IF(BP[[#This Row],[Montant]]&gt;0,BP[[#This Row],[Montant]],0)</f>
        <v>0</v>
      </c>
      <c r="O18" s="699">
        <f>IF(BP[[#This Row],[Montant]]&lt;0,-BP[[#This Row],[Montant]],0)</f>
        <v>500</v>
      </c>
      <c r="P18" s="699" t="str">
        <f>VLOOKUP(BP[[#This Row],[projet]],'Listes détails'!A:I,9,0)</f>
        <v>Autres activités</v>
      </c>
      <c r="Q18" s="699" t="str">
        <f>VLOOKUP(BP[[#This Row],[Compta]],'Budget CR'!B:B,1,0)</f>
        <v>Entretien et réparations</v>
      </c>
      <c r="R18" s="699" t="e">
        <f>VLOOKUP(BP[[#This Row],[Compta]],'Budget CR'!G:G,1,0)</f>
        <v>#N/A</v>
      </c>
    </row>
    <row r="19" spans="1:18" x14ac:dyDescent="0.25">
      <c r="A19" s="699">
        <v>2025</v>
      </c>
      <c r="B19" s="699">
        <v>5</v>
      </c>
      <c r="C19" s="704"/>
      <c r="E19" s="586">
        <v>1750</v>
      </c>
      <c r="F19" s="874"/>
      <c r="G19" s="874" t="s">
        <v>169</v>
      </c>
      <c r="H19" s="879" t="s">
        <v>335</v>
      </c>
      <c r="I19" s="874" t="s">
        <v>377</v>
      </c>
      <c r="J19" s="874" t="s">
        <v>333</v>
      </c>
      <c r="K19" s="874"/>
      <c r="L19" s="874" t="s">
        <v>330</v>
      </c>
      <c r="M19" s="1024" t="s">
        <v>61</v>
      </c>
      <c r="N19" s="699">
        <f>IF(BP[[#This Row],[Montant]]&gt;0,BP[[#This Row],[Montant]],0)</f>
        <v>1750</v>
      </c>
      <c r="O19" s="699">
        <f>IF(BP[[#This Row],[Montant]]&lt;0,-BP[[#This Row],[Montant]],0)</f>
        <v>0</v>
      </c>
      <c r="P19" s="699" t="str">
        <f>IFERROR(VLOOKUP(BP[[#This Row],[projet]],'Listes détails'!A:I,9,0),"")</f>
        <v>Autres activités</v>
      </c>
      <c r="Q19" s="699" t="e">
        <f>VLOOKUP(BP[[#This Row],[Compta]],'Budget CR'!B:B,1,0)</f>
        <v>#N/A</v>
      </c>
      <c r="R19" s="699" t="str">
        <f>VLOOKUP(BP[[#This Row],[Compta]],'Budget CR'!G:G,1,0)</f>
        <v>Produits activités annexes EEDF</v>
      </c>
    </row>
    <row r="20" spans="1:18" x14ac:dyDescent="0.25">
      <c r="A20" s="699">
        <v>2025</v>
      </c>
      <c r="B20" s="699">
        <v>115</v>
      </c>
      <c r="C20" s="704"/>
      <c r="E20" s="586">
        <v>-1000</v>
      </c>
      <c r="F20" s="874"/>
      <c r="G20" s="874" t="s">
        <v>384</v>
      </c>
      <c r="H20" s="879" t="s">
        <v>370</v>
      </c>
      <c r="I20" s="874" t="s">
        <v>371</v>
      </c>
      <c r="J20" s="874" t="s">
        <v>17</v>
      </c>
      <c r="K20" s="874"/>
      <c r="L20" s="874" t="s">
        <v>330</v>
      </c>
      <c r="M20" s="1024" t="s">
        <v>109</v>
      </c>
      <c r="N20" s="699">
        <f>IF(BP[[#This Row],[Montant]]&gt;0,BP[[#This Row],[Montant]],0)</f>
        <v>0</v>
      </c>
      <c r="O20" s="699">
        <f>IF(BP[[#This Row],[Montant]]&lt;0,-BP[[#This Row],[Montant]],0)</f>
        <v>1000</v>
      </c>
      <c r="P20" s="699" t="str">
        <f>IFERROR(VLOOKUP(BP[[#This Row],[projet]],'Listes détails'!A:I,9,0),"")</f>
        <v>Congrès régional</v>
      </c>
      <c r="Q20" s="699" t="str">
        <f>VLOOKUP(BP[[#This Row],[Compta]],'Budget CR'!B:B,1,0)</f>
        <v>Locations terrains et centres EEDF</v>
      </c>
      <c r="R20" s="699" t="e">
        <f>VLOOKUP(BP[[#This Row],[Compta]],'Budget CR'!G:G,1,0)</f>
        <v>#N/A</v>
      </c>
    </row>
    <row r="21" spans="1:18" x14ac:dyDescent="0.25">
      <c r="A21" s="699">
        <v>2025</v>
      </c>
      <c r="B21" s="699">
        <v>78</v>
      </c>
      <c r="C21" s="704"/>
      <c r="E21" s="586">
        <v>-1000</v>
      </c>
      <c r="F21" s="874"/>
      <c r="G21" s="874" t="s">
        <v>393</v>
      </c>
      <c r="H21" s="879" t="s">
        <v>370</v>
      </c>
      <c r="I21" s="874" t="s">
        <v>371</v>
      </c>
      <c r="J21" s="874" t="s">
        <v>17</v>
      </c>
      <c r="K21" s="874"/>
      <c r="L21" s="874" t="s">
        <v>330</v>
      </c>
      <c r="M21" s="1024" t="s">
        <v>137</v>
      </c>
      <c r="N21" s="699">
        <f>IF(BP[[#This Row],[Montant]]&gt;0,BP[[#This Row],[Montant]],0)</f>
        <v>0</v>
      </c>
      <c r="O21" s="699">
        <f>IF(BP[[#This Row],[Montant]]&lt;0,-BP[[#This Row],[Montant]],0)</f>
        <v>1000</v>
      </c>
      <c r="P21" s="699" t="str">
        <f>IFERROR(VLOOKUP(BP[[#This Row],[projet]],'Listes détails'!A:I,9,0),"")</f>
        <v>Congrès régional</v>
      </c>
      <c r="Q21" s="699" t="str">
        <f>VLOOKUP(BP[[#This Row],[Compta]],'Budget CR'!B:B,1,0)</f>
        <v>Transport des participants</v>
      </c>
      <c r="R21" s="699" t="e">
        <f>VLOOKUP(BP[[#This Row],[Compta]],'Budget CR'!G:G,1,0)</f>
        <v>#N/A</v>
      </c>
    </row>
    <row r="22" spans="1:18" x14ac:dyDescent="0.25">
      <c r="A22" s="699">
        <v>2025</v>
      </c>
      <c r="B22" s="699">
        <v>57</v>
      </c>
      <c r="C22" s="704"/>
      <c r="E22" s="586">
        <v>-800</v>
      </c>
      <c r="F22" s="874"/>
      <c r="G22" s="874" t="s">
        <v>364</v>
      </c>
      <c r="H22" s="879" t="s">
        <v>370</v>
      </c>
      <c r="I22" s="874" t="s">
        <v>371</v>
      </c>
      <c r="J22" s="874" t="s">
        <v>17</v>
      </c>
      <c r="K22" s="874"/>
      <c r="L22" s="874" t="s">
        <v>330</v>
      </c>
      <c r="M22" s="1024" t="s">
        <v>106</v>
      </c>
      <c r="N22" s="699">
        <f>IF(BP[[#This Row],[Montant]]&gt;0,BP[[#This Row],[Montant]],0)</f>
        <v>0</v>
      </c>
      <c r="O22" s="699">
        <f>IF(BP[[#This Row],[Montant]]&lt;0,-BP[[#This Row],[Montant]],0)</f>
        <v>800</v>
      </c>
      <c r="P22" s="699" t="str">
        <f>VLOOKUP(BP[[#This Row],[projet]],'Listes détails'!A:I,9,0)</f>
        <v>Congrès régional</v>
      </c>
      <c r="Q22" s="699" t="str">
        <f>VLOOKUP(BP[[#This Row],[Compta]],'Budget CR'!B:B,1,0)</f>
        <v>Achats denrées alimentaires</v>
      </c>
      <c r="R22" s="699" t="e">
        <f>VLOOKUP(BP[[#This Row],[Compta]],'Budget CR'!G:G,1,0)</f>
        <v>#N/A</v>
      </c>
    </row>
    <row r="23" spans="1:18" x14ac:dyDescent="0.25">
      <c r="A23" s="699">
        <v>2025</v>
      </c>
      <c r="B23" s="699">
        <v>86</v>
      </c>
      <c r="C23" s="704"/>
      <c r="E23" s="586">
        <v>2800</v>
      </c>
      <c r="F23" s="874"/>
      <c r="G23" s="874" t="s">
        <v>386</v>
      </c>
      <c r="H23" s="879" t="s">
        <v>370</v>
      </c>
      <c r="I23" s="874" t="s">
        <v>371</v>
      </c>
      <c r="J23" s="874" t="s">
        <v>17</v>
      </c>
      <c r="K23" s="874"/>
      <c r="L23" s="874" t="s">
        <v>330</v>
      </c>
      <c r="M23" s="1024" t="s">
        <v>54</v>
      </c>
      <c r="N23" s="699">
        <f>IF(BP[[#This Row],[Montant]]&gt;0,BP[[#This Row],[Montant]],0)</f>
        <v>2800</v>
      </c>
      <c r="O23" s="699">
        <f>IF(BP[[#This Row],[Montant]]&lt;0,-BP[[#This Row],[Montant]],0)</f>
        <v>0</v>
      </c>
      <c r="P23" s="699" t="str">
        <f>IFERROR(VLOOKUP(BP[[#This Row],[projet]],'Listes détails'!A:I,9,0),"")</f>
        <v>Congrès régional</v>
      </c>
      <c r="Q23" s="699" t="e">
        <f>VLOOKUP(BP[[#This Row],[Compta]],'Budget CR'!B:B,1,0)</f>
        <v>#N/A</v>
      </c>
      <c r="R23" s="699" t="str">
        <f>VLOOKUP(BP[[#This Row],[Compta]],'Budget CR'!G:G,1,0)</f>
        <v>Participation aux camps, activités EEDF</v>
      </c>
    </row>
    <row r="24" spans="1:18" x14ac:dyDescent="0.25">
      <c r="A24" s="699">
        <v>2025</v>
      </c>
      <c r="C24" s="704"/>
      <c r="E24" s="586">
        <v>-1757.6</v>
      </c>
      <c r="F24" s="874"/>
      <c r="G24" s="874" t="s">
        <v>343</v>
      </c>
      <c r="H24" s="879" t="s">
        <v>335</v>
      </c>
      <c r="I24" s="874" t="s">
        <v>363</v>
      </c>
      <c r="J24" s="874" t="s">
        <v>343</v>
      </c>
      <c r="K24" s="874"/>
      <c r="L24" s="874" t="s">
        <v>330</v>
      </c>
      <c r="M24" s="1024" t="s">
        <v>78</v>
      </c>
      <c r="N24" s="699">
        <f>IF(BP[[#This Row],[Montant]]&gt;0,BP[[#This Row],[Montant]],0)</f>
        <v>0</v>
      </c>
      <c r="O24" s="699">
        <f>IF(BP[[#This Row],[Montant]]&lt;0,-BP[[#This Row],[Montant]],0)</f>
        <v>1757.6</v>
      </c>
      <c r="P24" s="699" t="e">
        <f>VLOOKUP(BP[[#This Row],[projet]],'Listes détails'!A:I,9,0)</f>
        <v>#N/A</v>
      </c>
      <c r="Q24" s="699" t="str">
        <f>VLOOKUP(BP[[#This Row],[Compta]],'Budget CR'!B:B,1,0)</f>
        <v>Contribution nationale EEDF</v>
      </c>
      <c r="R24" s="699" t="str">
        <f>VLOOKUP(BP[[#This Row],[Compta]],'Budget CR'!G:G,1,0)</f>
        <v>Contribution nationale EEDF</v>
      </c>
    </row>
    <row r="25" spans="1:18" x14ac:dyDescent="0.25">
      <c r="A25" s="699">
        <v>2025</v>
      </c>
      <c r="C25" s="704"/>
      <c r="E25" s="586">
        <v>-300</v>
      </c>
      <c r="F25" s="874"/>
      <c r="G25" s="874" t="s">
        <v>393</v>
      </c>
      <c r="H25" s="879" t="s">
        <v>370</v>
      </c>
      <c r="I25" s="874" t="s">
        <v>371</v>
      </c>
      <c r="J25" s="874" t="s">
        <v>18</v>
      </c>
      <c r="K25" s="874"/>
      <c r="L25" s="874" t="s">
        <v>395</v>
      </c>
      <c r="M25" s="1024" t="s">
        <v>137</v>
      </c>
      <c r="N25" s="699">
        <f>IF(BP[[#This Row],[Montant]]&gt;0,BP[[#This Row],[Montant]],0)</f>
        <v>0</v>
      </c>
      <c r="O25" s="699">
        <f>IF(BP[[#This Row],[Montant]]&lt;0,-BP[[#This Row],[Montant]],0)</f>
        <v>300</v>
      </c>
      <c r="P25" s="699" t="e">
        <f>VLOOKUP(BP[[#This Row],[projet]],'Listes détails'!A:I,9,0)</f>
        <v>#N/A</v>
      </c>
      <c r="Q25" s="699" t="str">
        <f>VLOOKUP(BP[[#This Row],[Compta]],'Budget CR'!B:B,1,0)</f>
        <v>Transport des participants</v>
      </c>
      <c r="R25" s="699" t="e">
        <f>VLOOKUP(BP[[#This Row],[Compta]],'Budget CR'!G:G,1,0)</f>
        <v>#N/A</v>
      </c>
    </row>
    <row r="26" spans="1:18" x14ac:dyDescent="0.25">
      <c r="A26" s="699">
        <v>2025</v>
      </c>
      <c r="C26" s="704"/>
      <c r="E26" s="586">
        <v>-200</v>
      </c>
      <c r="F26" s="874"/>
      <c r="G26" s="874" t="s">
        <v>364</v>
      </c>
      <c r="H26" s="879" t="s">
        <v>370</v>
      </c>
      <c r="I26" s="874" t="s">
        <v>371</v>
      </c>
      <c r="J26" s="874" t="s">
        <v>18</v>
      </c>
      <c r="K26" s="874" t="s">
        <v>372</v>
      </c>
      <c r="L26" s="874" t="s">
        <v>330</v>
      </c>
      <c r="M26" s="1024" t="s">
        <v>106</v>
      </c>
      <c r="N26" s="699">
        <f>IF(BP[[#This Row],[Montant]]&gt;0,BP[[#This Row],[Montant]],0)</f>
        <v>0</v>
      </c>
      <c r="O26" s="699">
        <f>IF(BP[[#This Row],[Montant]]&lt;0,-BP[[#This Row],[Montant]],0)</f>
        <v>200</v>
      </c>
      <c r="P26" s="699" t="e">
        <f>VLOOKUP(BP[[#This Row],[projet]],'Listes détails'!A:I,9,0)</f>
        <v>#N/A</v>
      </c>
      <c r="Q26" s="699" t="str">
        <f>VLOOKUP(BP[[#This Row],[Compta]],'Budget CR'!B:B,1,0)</f>
        <v>Achats denrées alimentaires</v>
      </c>
      <c r="R26" s="699" t="e">
        <f>VLOOKUP(BP[[#This Row],[Compta]],'Budget CR'!G:G,1,0)</f>
        <v>#N/A</v>
      </c>
    </row>
    <row r="27" spans="1:18" x14ac:dyDescent="0.25">
      <c r="A27" s="699">
        <v>2025</v>
      </c>
      <c r="B27" s="699">
        <v>17</v>
      </c>
      <c r="C27" s="704"/>
      <c r="E27" s="586">
        <f>12*-370</f>
        <v>-4440</v>
      </c>
      <c r="F27" s="874"/>
      <c r="G27" s="874" t="s">
        <v>385</v>
      </c>
      <c r="H27" s="879" t="s">
        <v>335</v>
      </c>
      <c r="I27" s="874" t="s">
        <v>360</v>
      </c>
      <c r="J27" s="874" t="s">
        <v>340</v>
      </c>
      <c r="K27" s="874"/>
      <c r="L27" s="874" t="s">
        <v>330</v>
      </c>
      <c r="M27" s="1024" t="s">
        <v>124</v>
      </c>
      <c r="N27" s="699">
        <f>IF(BP[[#This Row],[Montant]]&gt;0,BP[[#This Row],[Montant]],0)</f>
        <v>0</v>
      </c>
      <c r="O27" s="699">
        <f>IF(BP[[#This Row],[Montant]]&lt;0,-BP[[#This Row],[Montant]],0)</f>
        <v>4440</v>
      </c>
      <c r="P27" s="699" t="str">
        <f>IFERROR(VLOOKUP(BP[[#This Row],[projet]],'Listes détails'!A:I,9,0),"")</f>
        <v>Fonctionnement (charges et produits indirects)</v>
      </c>
      <c r="Q27" s="699" t="str">
        <f>VLOOKUP(BP[[#This Row],[Compta]],'Budget CR'!B:B,1,0)</f>
        <v>Locations immobilières</v>
      </c>
      <c r="R27" s="699" t="e">
        <f>VLOOKUP(BP[[#This Row],[Compta]],'Budget CR'!G:G,1,0)</f>
        <v>#N/A</v>
      </c>
    </row>
    <row r="28" spans="1:18" x14ac:dyDescent="0.25">
      <c r="A28" s="699">
        <v>2025</v>
      </c>
      <c r="B28" s="699">
        <v>28</v>
      </c>
      <c r="C28" s="704"/>
      <c r="E28" s="586">
        <v>-309.17</v>
      </c>
      <c r="F28" s="874"/>
      <c r="G28" s="874" t="s">
        <v>229</v>
      </c>
      <c r="H28" s="879" t="s">
        <v>335</v>
      </c>
      <c r="I28" s="874" t="s">
        <v>360</v>
      </c>
      <c r="J28" s="874" t="s">
        <v>340</v>
      </c>
      <c r="K28" s="874" t="s">
        <v>229</v>
      </c>
      <c r="L28" s="874" t="s">
        <v>330</v>
      </c>
      <c r="M28" s="1024" t="s">
        <v>130</v>
      </c>
      <c r="N28" s="699">
        <f>IF(BP[[#This Row],[Montant]]&gt;0,BP[[#This Row],[Montant]],0)</f>
        <v>0</v>
      </c>
      <c r="O28" s="699">
        <f>IF(BP[[#This Row],[Montant]]&lt;0,-BP[[#This Row],[Montant]],0)</f>
        <v>309.17</v>
      </c>
      <c r="P28" s="699" t="str">
        <f>IFERROR(VLOOKUP(BP[[#This Row],[projet]],'Listes détails'!A:I,9,0),"")</f>
        <v>Fonctionnement (charges et produits indirects)</v>
      </c>
      <c r="Q28" s="699" t="str">
        <f>VLOOKUP(BP[[#This Row],[Compta]],'Budget CR'!B:B,1,0)</f>
        <v>Primes d'assurance</v>
      </c>
      <c r="R28" s="699" t="e">
        <f>VLOOKUP(BP[[#This Row],[Compta]],'Budget CR'!G:G,1,0)</f>
        <v>#N/A</v>
      </c>
    </row>
    <row r="29" spans="1:18" x14ac:dyDescent="0.25">
      <c r="A29" s="699">
        <v>2025</v>
      </c>
      <c r="C29" s="704"/>
      <c r="E29" s="586">
        <v>4440</v>
      </c>
      <c r="F29" s="874"/>
      <c r="G29" s="874" t="s">
        <v>392</v>
      </c>
      <c r="H29" s="879" t="s">
        <v>335</v>
      </c>
      <c r="I29" s="874" t="s">
        <v>360</v>
      </c>
      <c r="J29" s="874" t="s">
        <v>340</v>
      </c>
      <c r="K29" s="874"/>
      <c r="L29" s="874" t="s">
        <v>330</v>
      </c>
      <c r="M29" s="1024" t="s">
        <v>65</v>
      </c>
      <c r="N29" s="699">
        <f>IF(BP[[#This Row],[Montant]]&gt;0,BP[[#This Row],[Montant]],0)</f>
        <v>4440</v>
      </c>
      <c r="O29" s="699">
        <f>IF(BP[[#This Row],[Montant]]&lt;0,-BP[[#This Row],[Montant]],0)</f>
        <v>0</v>
      </c>
      <c r="P29" s="699" t="str">
        <f>VLOOKUP(BP[[#This Row],[projet]],'Listes détails'!A:I,9,0)</f>
        <v>Fonctionnement (charges et produits indirects)</v>
      </c>
      <c r="Q29" s="699" t="e">
        <f>VLOOKUP(BP[[#This Row],[Compta]],'Budget CR'!B:B,1,0)</f>
        <v>#N/A</v>
      </c>
      <c r="R29" s="699" t="str">
        <f>VLOOKUP(BP[[#This Row],[Compta]],'Budget CR'!G:G,1,0)</f>
        <v>Subventions communales</v>
      </c>
    </row>
    <row r="30" spans="1:18" x14ac:dyDescent="0.25">
      <c r="A30" s="699">
        <v>2025</v>
      </c>
      <c r="C30" s="704"/>
      <c r="E30" s="586">
        <f>-SUMIF('BP Petit Bivouac'!B:B,BP[[#This Row],[Compta]],'BP Petit Bivouac'!F:F)</f>
        <v>-20250</v>
      </c>
      <c r="F30" s="874"/>
      <c r="G30" s="874" t="s">
        <v>364</v>
      </c>
      <c r="H30" s="879" t="s">
        <v>365</v>
      </c>
      <c r="I30" s="874" t="s">
        <v>373</v>
      </c>
      <c r="J30" s="874" t="s">
        <v>849</v>
      </c>
      <c r="K30" s="874"/>
      <c r="L30" s="874" t="s">
        <v>330</v>
      </c>
      <c r="M30" s="1024" t="s">
        <v>106</v>
      </c>
      <c r="N30" s="699">
        <f>IF(BP[[#This Row],[Montant]]&gt;0,BP[[#This Row],[Montant]],0)</f>
        <v>0</v>
      </c>
      <c r="O30" s="699">
        <f>IF(BP[[#This Row],[Montant]]&lt;0,-BP[[#This Row],[Montant]],0)</f>
        <v>20250</v>
      </c>
      <c r="Q30" s="699" t="str">
        <f>VLOOKUP(BP[[#This Row],[Compta]],'Budget CR'!B:B,1,0)</f>
        <v>Achats denrées alimentaires</v>
      </c>
      <c r="R30" s="699" t="e">
        <f>VLOOKUP(BP[[#This Row],[Compta]],'Budget CR'!G:G,1,0)</f>
        <v>#N/A</v>
      </c>
    </row>
    <row r="31" spans="1:18" x14ac:dyDescent="0.25">
      <c r="A31" s="699">
        <v>2025</v>
      </c>
      <c r="C31" s="704"/>
      <c r="E31" s="586">
        <f>-SUMIF('BP Petit Bivouac'!B:B,BP[[#This Row],[Compta]],'BP Petit Bivouac'!F:F)</f>
        <v>-5870</v>
      </c>
      <c r="F31" s="874"/>
      <c r="G31" s="874" t="s">
        <v>173</v>
      </c>
      <c r="H31" s="879" t="s">
        <v>365</v>
      </c>
      <c r="I31" s="874" t="s">
        <v>373</v>
      </c>
      <c r="J31" s="874" t="s">
        <v>849</v>
      </c>
      <c r="K31" s="874"/>
      <c r="L31" s="874" t="s">
        <v>330</v>
      </c>
      <c r="M31" s="1024" t="s">
        <v>107</v>
      </c>
      <c r="N31" s="699">
        <f>IF(BP[[#This Row],[Montant]]&gt;0,BP[[#This Row],[Montant]],0)</f>
        <v>0</v>
      </c>
      <c r="O31" s="699">
        <f>IF(BP[[#This Row],[Montant]]&lt;0,-BP[[#This Row],[Montant]],0)</f>
        <v>5870</v>
      </c>
      <c r="P31" s="699" t="e">
        <f>VLOOKUP(BP[[#This Row],[projet]],'Listes détails'!A:I,9,0)</f>
        <v>#N/A</v>
      </c>
      <c r="Q31" s="699" t="str">
        <f>VLOOKUP(BP[[#This Row],[Compta]],'Budget CR'!B:B,1,0)</f>
        <v>Petites fournitures et petit matériel</v>
      </c>
      <c r="R31" s="699" t="e">
        <f>VLOOKUP(BP[[#This Row],[Compta]],'Budget CR'!G:G,1,0)</f>
        <v>#N/A</v>
      </c>
    </row>
    <row r="32" spans="1:18" x14ac:dyDescent="0.25">
      <c r="A32" s="699">
        <v>2025</v>
      </c>
      <c r="C32" s="704"/>
      <c r="E32" s="586">
        <f>-SUMIF('BP Petit Bivouac'!B:B,BP[[#This Row],[Compta]],'BP Petit Bivouac'!F:F)</f>
        <v>-4040</v>
      </c>
      <c r="F32" s="874"/>
      <c r="G32" s="874" t="s">
        <v>384</v>
      </c>
      <c r="H32" s="879" t="s">
        <v>365</v>
      </c>
      <c r="I32" s="874" t="s">
        <v>373</v>
      </c>
      <c r="J32" s="874" t="s">
        <v>849</v>
      </c>
      <c r="K32" s="874"/>
      <c r="L32" s="874" t="s">
        <v>330</v>
      </c>
      <c r="M32" s="1024" t="s">
        <v>124</v>
      </c>
      <c r="N32" s="699">
        <f>IF(BP[[#This Row],[Montant]]&gt;0,BP[[#This Row],[Montant]],0)</f>
        <v>0</v>
      </c>
      <c r="O32" s="699">
        <f>IF(BP[[#This Row],[Montant]]&lt;0,-BP[[#This Row],[Montant]],0)</f>
        <v>4040</v>
      </c>
      <c r="P32" s="699" t="e">
        <f>VLOOKUP(BP[[#This Row],[projet]],'Listes détails'!A:I,9,0)</f>
        <v>#N/A</v>
      </c>
      <c r="Q32" s="699" t="str">
        <f>VLOOKUP(BP[[#This Row],[Compta]],'Budget CR'!B:B,1,0)</f>
        <v>Locations immobilières</v>
      </c>
      <c r="R32" s="699" t="e">
        <f>VLOOKUP(BP[[#This Row],[Compta]],'Budget CR'!G:G,1,0)</f>
        <v>#N/A</v>
      </c>
    </row>
    <row r="33" spans="1:18" x14ac:dyDescent="0.25">
      <c r="A33" s="699">
        <v>2025</v>
      </c>
      <c r="C33" s="704"/>
      <c r="E33" s="586">
        <f>-SUMIF('BP Petit Bivouac'!B:B,BP[[#This Row],[Compta]],'BP Petit Bivouac'!F:F)</f>
        <v>-2125</v>
      </c>
      <c r="F33" s="874"/>
      <c r="G33" s="874" t="s">
        <v>841</v>
      </c>
      <c r="H33" s="879" t="s">
        <v>365</v>
      </c>
      <c r="I33" s="874" t="s">
        <v>373</v>
      </c>
      <c r="J33" s="874" t="s">
        <v>849</v>
      </c>
      <c r="K33" s="874"/>
      <c r="L33" s="874" t="s">
        <v>330</v>
      </c>
      <c r="M33" s="1024" t="s">
        <v>120</v>
      </c>
      <c r="N33" s="699">
        <f>IF(BP[[#This Row],[Montant]]&gt;0,BP[[#This Row],[Montant]],0)</f>
        <v>0</v>
      </c>
      <c r="O33" s="699">
        <f>IF(BP[[#This Row],[Montant]]&lt;0,-BP[[#This Row],[Montant]],0)</f>
        <v>2125</v>
      </c>
      <c r="P33" s="699" t="e">
        <f>VLOOKUP(BP[[#This Row],[projet]],'Listes détails'!A:I,9,0)</f>
        <v>#N/A</v>
      </c>
      <c r="Q33" s="699" t="str">
        <f>VLOOKUP(BP[[#This Row],[Compta]],'Budget CR'!B:B,1,0)</f>
        <v>Fournitures éducatives et pédagogiques</v>
      </c>
      <c r="R33" s="699" t="e">
        <f>VLOOKUP(BP[[#This Row],[Compta]],'Budget CR'!G:G,1,0)</f>
        <v>#N/A</v>
      </c>
    </row>
    <row r="34" spans="1:18" x14ac:dyDescent="0.25">
      <c r="A34" s="699">
        <v>2025</v>
      </c>
      <c r="C34" s="704"/>
      <c r="E34" s="586">
        <f>-SUMIF('BP Petit Bivouac'!B:B,BP[[#This Row],[Compta]],'BP Petit Bivouac'!F:F)</f>
        <v>-2000</v>
      </c>
      <c r="F34" s="874"/>
      <c r="G34" s="874" t="s">
        <v>391</v>
      </c>
      <c r="H34" s="879" t="s">
        <v>365</v>
      </c>
      <c r="I34" s="874" t="s">
        <v>373</v>
      </c>
      <c r="J34" s="874" t="s">
        <v>849</v>
      </c>
      <c r="K34" s="874"/>
      <c r="L34" s="874" t="s">
        <v>330</v>
      </c>
      <c r="M34" s="1024" t="s">
        <v>116</v>
      </c>
      <c r="N34" s="699">
        <f>IF(BP[[#This Row],[Montant]]&gt;0,BP[[#This Row],[Montant]],0)</f>
        <v>0</v>
      </c>
      <c r="O34" s="699">
        <f>IF(BP[[#This Row],[Montant]]&lt;0,-BP[[#This Row],[Montant]],0)</f>
        <v>2000</v>
      </c>
      <c r="P34" s="699" t="e">
        <f>VLOOKUP(BP[[#This Row],[projet]],'Listes détails'!A:I,9,0)</f>
        <v>#N/A</v>
      </c>
      <c r="Q34" s="699" t="str">
        <f>VLOOKUP(BP[[#This Row],[Compta]],'Budget CR'!B:B,1,0)</f>
        <v>Prestations éducatives</v>
      </c>
      <c r="R34" s="699" t="e">
        <f>VLOOKUP(BP[[#This Row],[Compta]],'Budget CR'!G:G,1,0)</f>
        <v>#N/A</v>
      </c>
    </row>
    <row r="35" spans="1:18" x14ac:dyDescent="0.25">
      <c r="A35" s="699">
        <v>2025</v>
      </c>
      <c r="C35" s="704"/>
      <c r="E35" s="586">
        <f>-SUMIF('BP Petit Bivouac'!B:B,BP[[#This Row],[Compta]],'BP Petit Bivouac'!F:F)</f>
        <v>-1080</v>
      </c>
      <c r="F35" s="874"/>
      <c r="G35" s="874" t="s">
        <v>843</v>
      </c>
      <c r="H35" s="879" t="s">
        <v>365</v>
      </c>
      <c r="I35" s="874" t="s">
        <v>373</v>
      </c>
      <c r="J35" s="874" t="s">
        <v>849</v>
      </c>
      <c r="K35" s="874"/>
      <c r="L35" s="874" t="s">
        <v>330</v>
      </c>
      <c r="M35" s="1024" t="s">
        <v>126</v>
      </c>
      <c r="N35" s="699">
        <f>IF(BP[[#This Row],[Montant]]&gt;0,BP[[#This Row],[Montant]],0)</f>
        <v>0</v>
      </c>
      <c r="O35" s="699">
        <f>IF(BP[[#This Row],[Montant]]&lt;0,-BP[[#This Row],[Montant]],0)</f>
        <v>1080</v>
      </c>
      <c r="P35" s="699" t="e">
        <f>VLOOKUP(BP[[#This Row],[projet]],'Listes détails'!A:I,9,0)</f>
        <v>#N/A</v>
      </c>
      <c r="Q35" s="699" t="str">
        <f>VLOOKUP(BP[[#This Row],[Compta]],'Budget CR'!B:B,1,0)</f>
        <v>Autres locations (matériel, véhicules)</v>
      </c>
      <c r="R35" s="699" t="e">
        <f>VLOOKUP(BP[[#This Row],[Compta]],'Budget CR'!G:G,1,0)</f>
        <v>#N/A</v>
      </c>
    </row>
    <row r="36" spans="1:18" x14ac:dyDescent="0.25">
      <c r="A36" s="699">
        <v>2025</v>
      </c>
      <c r="C36" s="704"/>
      <c r="E36" s="586">
        <f>-SUMIF('BP Petit Bivouac'!B:B,BP[[#This Row],[Compta]],'BP Petit Bivouac'!F:F)</f>
        <v>-875</v>
      </c>
      <c r="F36" s="874"/>
      <c r="G36" s="874" t="s">
        <v>108</v>
      </c>
      <c r="H36" s="879" t="s">
        <v>365</v>
      </c>
      <c r="I36" s="874" t="s">
        <v>373</v>
      </c>
      <c r="J36" s="874" t="s">
        <v>849</v>
      </c>
      <c r="K36" s="874"/>
      <c r="L36" s="874" t="s">
        <v>330</v>
      </c>
      <c r="M36" s="1024" t="s">
        <v>108</v>
      </c>
      <c r="N36" s="699">
        <f>IF(BP[[#This Row],[Montant]]&gt;0,BP[[#This Row],[Montant]],0)</f>
        <v>0</v>
      </c>
      <c r="O36" s="699">
        <f>IF(BP[[#This Row],[Montant]]&lt;0,-BP[[#This Row],[Montant]],0)</f>
        <v>875</v>
      </c>
      <c r="P36" s="699" t="e">
        <f>VLOOKUP(BP[[#This Row],[projet]],'Listes détails'!A:I,9,0)</f>
        <v>#N/A</v>
      </c>
      <c r="Q36" s="699" t="str">
        <f>VLOOKUP(BP[[#This Row],[Compta]],'Budget CR'!B:B,1,0)</f>
        <v>Carburants</v>
      </c>
      <c r="R36" s="699" t="e">
        <f>VLOOKUP(BP[[#This Row],[Compta]],'Budget CR'!G:G,1,0)</f>
        <v>#N/A</v>
      </c>
    </row>
    <row r="37" spans="1:18" x14ac:dyDescent="0.25">
      <c r="A37" s="699">
        <v>2025</v>
      </c>
      <c r="C37" s="704"/>
      <c r="E37" s="586">
        <f>-SUMIF('BP Petit Bivouac'!B:B,BP[[#This Row],[Compta]],'BP Petit Bivouac'!F:F)</f>
        <v>-700</v>
      </c>
      <c r="F37" s="874"/>
      <c r="G37" s="874" t="s">
        <v>393</v>
      </c>
      <c r="H37" s="879" t="s">
        <v>365</v>
      </c>
      <c r="I37" s="874" t="s">
        <v>373</v>
      </c>
      <c r="J37" s="874" t="s">
        <v>849</v>
      </c>
      <c r="K37" s="874"/>
      <c r="L37" s="874" t="s">
        <v>330</v>
      </c>
      <c r="M37" s="1024" t="s">
        <v>138</v>
      </c>
      <c r="N37" s="699">
        <f>IF(BP[[#This Row],[Montant]]&gt;0,BP[[#This Row],[Montant]],0)</f>
        <v>0</v>
      </c>
      <c r="O37" s="699">
        <f>IF(BP[[#This Row],[Montant]]&lt;0,-BP[[#This Row],[Montant]],0)</f>
        <v>700</v>
      </c>
      <c r="P37" s="699" t="e">
        <f>VLOOKUP(BP[[#This Row],[projet]],'Listes détails'!A:I,9,0)</f>
        <v>#N/A</v>
      </c>
      <c r="Q37" s="699" t="str">
        <f>VLOOKUP(BP[[#This Row],[Compta]],'Budget CR'!B:B,1,0)</f>
        <v>Trpt et déplac;, missions, réceptions</v>
      </c>
      <c r="R37" s="699" t="e">
        <f>VLOOKUP(BP[[#This Row],[Compta]],'Budget CR'!G:G,1,0)</f>
        <v>#N/A</v>
      </c>
    </row>
    <row r="38" spans="1:18" x14ac:dyDescent="0.25">
      <c r="A38" s="699">
        <v>2025</v>
      </c>
      <c r="C38" s="704"/>
      <c r="E38" s="586">
        <f>-SUMIF('BP Petit Bivouac'!B:B,BP[[#This Row],[Compta]],'BP Petit Bivouac'!F:F)</f>
        <v>-500</v>
      </c>
      <c r="F38" s="874"/>
      <c r="G38" s="874" t="s">
        <v>840</v>
      </c>
      <c r="H38" s="879" t="s">
        <v>365</v>
      </c>
      <c r="I38" s="874" t="s">
        <v>373</v>
      </c>
      <c r="J38" s="874" t="s">
        <v>849</v>
      </c>
      <c r="K38" s="874" t="s">
        <v>380</v>
      </c>
      <c r="L38" s="874" t="s">
        <v>330</v>
      </c>
      <c r="M38" s="1024" t="s">
        <v>118</v>
      </c>
      <c r="N38" s="699">
        <f>IF(BP[[#This Row],[Montant]]&gt;0,BP[[#This Row],[Montant]],0)</f>
        <v>0</v>
      </c>
      <c r="O38" s="699">
        <f>IF(BP[[#This Row],[Montant]]&lt;0,-BP[[#This Row],[Montant]],0)</f>
        <v>500</v>
      </c>
      <c r="P38" s="699" t="e">
        <f>VLOOKUP(BP[[#This Row],[projet]],'Listes détails'!A:I,9,0)</f>
        <v>#N/A</v>
      </c>
      <c r="Q38" s="699" t="str">
        <f>VLOOKUP(BP[[#This Row],[Compta]],'Budget CR'!B:B,1,0)</f>
        <v>Eau, gaz, électricité, combustible</v>
      </c>
      <c r="R38" s="699" t="e">
        <f>VLOOKUP(BP[[#This Row],[Compta]],'Budget CR'!G:G,1,0)</f>
        <v>#N/A</v>
      </c>
    </row>
    <row r="39" spans="1:18" x14ac:dyDescent="0.25">
      <c r="A39" s="699">
        <v>2025</v>
      </c>
      <c r="C39" s="704"/>
      <c r="E39" s="586">
        <f>-SUMIF('BP Petit Bivouac'!B:B,BP[[#This Row],[Compta]],'BP Petit Bivouac'!F:F)</f>
        <v>-100</v>
      </c>
      <c r="F39" s="874"/>
      <c r="G39" s="874" t="s">
        <v>842</v>
      </c>
      <c r="H39" s="879" t="s">
        <v>365</v>
      </c>
      <c r="I39" s="874" t="s">
        <v>373</v>
      </c>
      <c r="J39" s="874" t="s">
        <v>849</v>
      </c>
      <c r="K39" s="874"/>
      <c r="L39" s="874" t="s">
        <v>330</v>
      </c>
      <c r="M39" s="1024" t="s">
        <v>110</v>
      </c>
      <c r="N39" s="699">
        <f>IF(BP[[#This Row],[Montant]]&gt;0,BP[[#This Row],[Montant]],0)</f>
        <v>0</v>
      </c>
      <c r="O39" s="699">
        <f>IF(BP[[#This Row],[Montant]]&lt;0,-BP[[#This Row],[Montant]],0)</f>
        <v>100</v>
      </c>
      <c r="P39" s="699" t="e">
        <f>VLOOKUP(BP[[#This Row],[projet]],'Listes détails'!A:I,9,0)</f>
        <v>#N/A</v>
      </c>
      <c r="Q39" s="699" t="str">
        <f>VLOOKUP(BP[[#This Row],[Compta]],'Budget CR'!B:B,1,0)</f>
        <v>Produits pharmaceutiques</v>
      </c>
      <c r="R39" s="699" t="e">
        <f>VLOOKUP(BP[[#This Row],[Compta]],'Budget CR'!G:G,1,0)</f>
        <v>#N/A</v>
      </c>
    </row>
    <row r="40" spans="1:18" x14ac:dyDescent="0.25">
      <c r="A40" s="699">
        <v>2025</v>
      </c>
      <c r="C40" s="704"/>
      <c r="E40" s="586">
        <f>-SUMIF('BP Petit Bivouac'!B:B,BP[[#This Row],[Compta]],'BP Petit Bivouac'!F:F)</f>
        <v>-100</v>
      </c>
      <c r="F40" s="874"/>
      <c r="G40" s="874" t="s">
        <v>229</v>
      </c>
      <c r="H40" s="879" t="s">
        <v>365</v>
      </c>
      <c r="I40" s="874" t="s">
        <v>373</v>
      </c>
      <c r="J40" s="874" t="s">
        <v>849</v>
      </c>
      <c r="K40" s="874"/>
      <c r="L40" s="874" t="s">
        <v>330</v>
      </c>
      <c r="M40" s="1024" t="s">
        <v>130</v>
      </c>
      <c r="N40" s="699">
        <f>IF(BP[[#This Row],[Montant]]&gt;0,BP[[#This Row],[Montant]],0)</f>
        <v>0</v>
      </c>
      <c r="O40" s="699">
        <f>IF(BP[[#This Row],[Montant]]&lt;0,-BP[[#This Row],[Montant]],0)</f>
        <v>100</v>
      </c>
      <c r="P40" s="699" t="e">
        <f>VLOOKUP(BP[[#This Row],[projet]],'Listes détails'!A:I,9,0)</f>
        <v>#N/A</v>
      </c>
      <c r="Q40" s="699" t="str">
        <f>VLOOKUP(BP[[#This Row],[Compta]],'Budget CR'!B:B,1,0)</f>
        <v>Primes d'assurance</v>
      </c>
      <c r="R40" s="699" t="e">
        <f>VLOOKUP(BP[[#This Row],[Compta]],'Budget CR'!G:G,1,0)</f>
        <v>#N/A</v>
      </c>
    </row>
    <row r="41" spans="1:18" x14ac:dyDescent="0.25">
      <c r="A41" s="699">
        <v>2025</v>
      </c>
      <c r="C41" s="704"/>
      <c r="E41" s="586">
        <f>SUMIF('BP Petit Bivouac'!B:B,BP[[#This Row],[Compta]],'BP Petit Bivouac'!F:F)</f>
        <v>5000</v>
      </c>
      <c r="F41" s="874"/>
      <c r="G41" s="874" t="s">
        <v>392</v>
      </c>
      <c r="H41" s="879" t="s">
        <v>365</v>
      </c>
      <c r="I41" s="874" t="s">
        <v>373</v>
      </c>
      <c r="J41" s="874" t="s">
        <v>849</v>
      </c>
      <c r="K41" s="874"/>
      <c r="L41" s="874" t="s">
        <v>330</v>
      </c>
      <c r="M41" s="1024" t="s">
        <v>63</v>
      </c>
      <c r="N41" s="699">
        <f>IF(BP[[#This Row],[Montant]]&gt;0,BP[[#This Row],[Montant]],0)</f>
        <v>5000</v>
      </c>
      <c r="O41" s="699">
        <f>IF(BP[[#This Row],[Montant]]&lt;0,-BP[[#This Row],[Montant]],0)</f>
        <v>0</v>
      </c>
      <c r="P41" s="699" t="e">
        <f>VLOOKUP(BP[[#This Row],[projet]],'Listes détails'!A:I,9,0)</f>
        <v>#N/A</v>
      </c>
      <c r="Q41" s="699" t="e">
        <f>VLOOKUP(BP[[#This Row],[Compta]],'Budget CR'!B:B,1,0)</f>
        <v>#N/A</v>
      </c>
      <c r="R41" s="699" t="str">
        <f>VLOOKUP(BP[[#This Row],[Compta]],'Budget CR'!G:G,1,0)</f>
        <v>Subventions régionales</v>
      </c>
    </row>
    <row r="42" spans="1:18" x14ac:dyDescent="0.25">
      <c r="A42" s="699">
        <v>2025</v>
      </c>
      <c r="C42" s="704"/>
      <c r="E42" s="586">
        <f>SUMIF('BP Petit Bivouac'!B:B,BP[[#This Row],[Compta]],'BP Petit Bivouac'!F:F)</f>
        <v>36950</v>
      </c>
      <c r="F42" s="874"/>
      <c r="G42" s="874" t="s">
        <v>411</v>
      </c>
      <c r="H42" s="879" t="s">
        <v>365</v>
      </c>
      <c r="I42" s="874" t="s">
        <v>373</v>
      </c>
      <c r="J42" s="874" t="s">
        <v>849</v>
      </c>
      <c r="K42" s="874"/>
      <c r="L42" s="874" t="s">
        <v>330</v>
      </c>
      <c r="M42" s="1024" t="s">
        <v>53</v>
      </c>
      <c r="N42" s="699">
        <f>IF(BP[[#This Row],[Montant]]&gt;0,BP[[#This Row],[Montant]],0)</f>
        <v>36950</v>
      </c>
      <c r="O42" s="699">
        <f>IF(BP[[#This Row],[Montant]]&lt;0,-BP[[#This Row],[Montant]],0)</f>
        <v>0</v>
      </c>
      <c r="P42" s="699" t="e">
        <f>VLOOKUP(BP[[#This Row],[projet]],'Listes détails'!A:I,9,0)</f>
        <v>#N/A</v>
      </c>
      <c r="Q42" s="699" t="e">
        <f>VLOOKUP(BP[[#This Row],[Compta]],'Budget CR'!B:B,1,0)</f>
        <v>#N/A</v>
      </c>
      <c r="R42" s="699" t="str">
        <f>VLOOKUP(BP[[#This Row],[Compta]],'Budget CR'!G:G,1,0)</f>
        <v>Participation aux camps, activités</v>
      </c>
    </row>
    <row r="43" spans="1:18" x14ac:dyDescent="0.25">
      <c r="A43" s="699">
        <v>2025</v>
      </c>
      <c r="C43" s="704"/>
      <c r="E43" s="586">
        <v>-1000</v>
      </c>
      <c r="F43" s="874"/>
      <c r="G43" s="874" t="s">
        <v>839</v>
      </c>
      <c r="H43" s="879" t="s">
        <v>365</v>
      </c>
      <c r="I43" s="874" t="s">
        <v>373</v>
      </c>
      <c r="J43" s="874" t="s">
        <v>850</v>
      </c>
      <c r="K43" s="874"/>
      <c r="L43" s="874" t="s">
        <v>330</v>
      </c>
      <c r="M43" s="1024" t="s">
        <v>152</v>
      </c>
      <c r="N43" s="699">
        <f>IF(BP[[#This Row],[Montant]]&gt;0,BP[[#This Row],[Montant]],0)</f>
        <v>0</v>
      </c>
      <c r="O43" s="699">
        <f>IF(BP[[#This Row],[Montant]]&lt;0,-BP[[#This Row],[Montant]],0)</f>
        <v>1000</v>
      </c>
      <c r="P43" s="699" t="e">
        <f>VLOOKUP(BP[[#This Row],[projet]],'Listes détails'!A:I,9,0)</f>
        <v>#N/A</v>
      </c>
      <c r="Q43" s="699" t="str">
        <f>VLOOKUP(BP[[#This Row],[Compta]],'Budget CR'!B:B,1,0)</f>
        <v>Charges diverses</v>
      </c>
      <c r="R43" s="699" t="e">
        <f>VLOOKUP(BP[[#This Row],[Compta]],'Budget CR'!G:G,1,0)</f>
        <v>#N/A</v>
      </c>
    </row>
    <row r="44" spans="1:18" x14ac:dyDescent="0.25">
      <c r="A44" s="699">
        <v>2025</v>
      </c>
      <c r="C44" s="704"/>
      <c r="E44" s="586">
        <v>1000</v>
      </c>
      <c r="F44" s="874"/>
      <c r="G44" s="874" t="s">
        <v>392</v>
      </c>
      <c r="H44" s="879" t="s">
        <v>365</v>
      </c>
      <c r="I44" s="874" t="s">
        <v>373</v>
      </c>
      <c r="J44" s="874" t="s">
        <v>850</v>
      </c>
      <c r="K44" s="874"/>
      <c r="L44" s="874" t="s">
        <v>330</v>
      </c>
      <c r="M44" s="1024" t="s">
        <v>63</v>
      </c>
      <c r="N44" s="699">
        <f>IF(BP[[#This Row],[Montant]]&gt;0,BP[[#This Row],[Montant]],0)</f>
        <v>1000</v>
      </c>
      <c r="O44" s="699">
        <f>IF(BP[[#This Row],[Montant]]&lt;0,-BP[[#This Row],[Montant]],0)</f>
        <v>0</v>
      </c>
      <c r="P44" s="699" t="e">
        <f>VLOOKUP(BP[[#This Row],[projet]],'Listes détails'!A:I,9,0)</f>
        <v>#N/A</v>
      </c>
      <c r="Q44" s="699" t="e">
        <f>VLOOKUP(BP[[#This Row],[Compta]],'Budget CR'!B:B,1,0)</f>
        <v>#N/A</v>
      </c>
      <c r="R44" s="699" t="str">
        <f>VLOOKUP(BP[[#This Row],[Compta]],'Budget CR'!G:G,1,0)</f>
        <v>Subventions régionales</v>
      </c>
    </row>
    <row r="45" spans="1:18" x14ac:dyDescent="0.25">
      <c r="A45" s="699">
        <v>2025</v>
      </c>
      <c r="B45" s="699">
        <v>32</v>
      </c>
      <c r="C45" s="704"/>
      <c r="E45" s="586">
        <v>-350</v>
      </c>
      <c r="F45" s="874"/>
      <c r="G45" s="874" t="s">
        <v>393</v>
      </c>
      <c r="H45" s="879" t="s">
        <v>370</v>
      </c>
      <c r="I45" s="874" t="s">
        <v>396</v>
      </c>
      <c r="J45" s="874" t="s">
        <v>397</v>
      </c>
      <c r="K45" s="874"/>
      <c r="L45" s="874" t="s">
        <v>330</v>
      </c>
      <c r="M45" s="1024" t="s">
        <v>137</v>
      </c>
      <c r="N45" s="699">
        <f>IF(BP[[#This Row],[Montant]]&gt;0,BP[[#This Row],[Montant]],0)</f>
        <v>0</v>
      </c>
      <c r="O45" s="699">
        <f>IF(BP[[#This Row],[Montant]]&lt;0,-BP[[#This Row],[Montant]],0)</f>
        <v>350</v>
      </c>
      <c r="P45" s="699" t="str">
        <f>IFERROR(VLOOKUP(BP[[#This Row],[projet]],'Listes détails'!A:I,9,0),"")</f>
        <v/>
      </c>
      <c r="Q45" s="699" t="str">
        <f>VLOOKUP(BP[[#This Row],[Compta]],'Budget CR'!B:B,1,0)</f>
        <v>Transport des participants</v>
      </c>
      <c r="R45" s="699" t="e">
        <f>VLOOKUP(BP[[#This Row],[Compta]],'Budget CR'!G:G,1,0)</f>
        <v>#N/A</v>
      </c>
    </row>
    <row r="46" spans="1:18" x14ac:dyDescent="0.25">
      <c r="A46" s="699">
        <v>2025</v>
      </c>
      <c r="C46" s="704"/>
      <c r="E46" s="586">
        <v>-1000</v>
      </c>
      <c r="F46" s="874"/>
      <c r="G46" s="874" t="s">
        <v>364</v>
      </c>
      <c r="H46" s="879" t="s">
        <v>365</v>
      </c>
      <c r="I46" s="874" t="s">
        <v>366</v>
      </c>
      <c r="J46" s="874" t="s">
        <v>368</v>
      </c>
      <c r="K46" s="874"/>
      <c r="L46" s="874" t="s">
        <v>330</v>
      </c>
      <c r="M46" s="1024" t="s">
        <v>106</v>
      </c>
      <c r="N46" s="699">
        <f>IF(BP[[#This Row],[Montant]]&gt;0,BP[[#This Row],[Montant]],0)</f>
        <v>0</v>
      </c>
      <c r="O46" s="699">
        <f>IF(BP[[#This Row],[Montant]]&lt;0,-BP[[#This Row],[Montant]],0)</f>
        <v>1000</v>
      </c>
      <c r="P46" s="699" t="str">
        <f>VLOOKUP(BP[[#This Row],[projet]],'Listes détails'!A:I,9,0)</f>
        <v>Formations des bénévoles (hors BAFA-BAFD)</v>
      </c>
      <c r="Q46" s="699" t="str">
        <f>VLOOKUP(BP[[#This Row],[Compta]],'Budget CR'!B:B,1,0)</f>
        <v>Achats denrées alimentaires</v>
      </c>
      <c r="R46" s="699" t="e">
        <f>VLOOKUP(BP[[#This Row],[Compta]],'Budget CR'!G:G,1,0)</f>
        <v>#N/A</v>
      </c>
    </row>
    <row r="47" spans="1:18" x14ac:dyDescent="0.25">
      <c r="A47" s="699">
        <v>2025</v>
      </c>
      <c r="C47" s="704"/>
      <c r="E47" s="586">
        <v>-1000</v>
      </c>
      <c r="F47" s="874"/>
      <c r="G47" s="874" t="s">
        <v>384</v>
      </c>
      <c r="H47" s="879" t="s">
        <v>365</v>
      </c>
      <c r="I47" s="874" t="s">
        <v>366</v>
      </c>
      <c r="J47" s="874" t="s">
        <v>368</v>
      </c>
      <c r="K47" s="874"/>
      <c r="L47" s="874" t="s">
        <v>330</v>
      </c>
      <c r="M47" s="1024" t="s">
        <v>109</v>
      </c>
      <c r="N47" s="699">
        <f>IF(BP[[#This Row],[Montant]]&gt;0,BP[[#This Row],[Montant]],0)</f>
        <v>0</v>
      </c>
      <c r="O47" s="699">
        <f>IF(BP[[#This Row],[Montant]]&lt;0,-BP[[#This Row],[Montant]],0)</f>
        <v>1000</v>
      </c>
      <c r="P47" s="699" t="str">
        <f>VLOOKUP(BP[[#This Row],[projet]],'Listes détails'!A:I,9,0)</f>
        <v>Formations des bénévoles (hors BAFA-BAFD)</v>
      </c>
      <c r="Q47" s="699" t="str">
        <f>VLOOKUP(BP[[#This Row],[Compta]],'Budget CR'!B:B,1,0)</f>
        <v>Locations terrains et centres EEDF</v>
      </c>
      <c r="R47" s="699" t="e">
        <f>VLOOKUP(BP[[#This Row],[Compta]],'Budget CR'!G:G,1,0)</f>
        <v>#N/A</v>
      </c>
    </row>
    <row r="48" spans="1:18" x14ac:dyDescent="0.25">
      <c r="A48" s="699">
        <v>2025</v>
      </c>
      <c r="C48" s="704"/>
      <c r="E48" s="586">
        <v>-1000</v>
      </c>
      <c r="F48" s="874"/>
      <c r="G48" s="874" t="s">
        <v>393</v>
      </c>
      <c r="H48" s="879" t="s">
        <v>365</v>
      </c>
      <c r="I48" s="874" t="s">
        <v>366</v>
      </c>
      <c r="J48" s="874" t="s">
        <v>368</v>
      </c>
      <c r="K48" s="874"/>
      <c r="L48" s="874" t="s">
        <v>330</v>
      </c>
      <c r="M48" s="1024" t="s">
        <v>137</v>
      </c>
      <c r="N48" s="699">
        <f>IF(BP[[#This Row],[Montant]]&gt;0,BP[[#This Row],[Montant]],0)</f>
        <v>0</v>
      </c>
      <c r="O48" s="699">
        <f>IF(BP[[#This Row],[Montant]]&lt;0,-BP[[#This Row],[Montant]],0)</f>
        <v>1000</v>
      </c>
      <c r="P48" s="699" t="str">
        <f>VLOOKUP(BP[[#This Row],[projet]],'Listes détails'!A:I,9,0)</f>
        <v>Formations des bénévoles (hors BAFA-BAFD)</v>
      </c>
      <c r="Q48" s="699" t="str">
        <f>VLOOKUP(BP[[#This Row],[Compta]],'Budget CR'!B:B,1,0)</f>
        <v>Transport des participants</v>
      </c>
      <c r="R48" s="699" t="e">
        <f>VLOOKUP(BP[[#This Row],[Compta]],'Budget CR'!G:G,1,0)</f>
        <v>#N/A</v>
      </c>
    </row>
    <row r="49" spans="1:18" x14ac:dyDescent="0.25">
      <c r="A49" s="699">
        <v>2025</v>
      </c>
      <c r="C49" s="704"/>
      <c r="E49" s="586">
        <v>3300</v>
      </c>
      <c r="F49" s="874"/>
      <c r="G49" s="874" t="s">
        <v>392</v>
      </c>
      <c r="H49" s="879" t="s">
        <v>365</v>
      </c>
      <c r="I49" s="874" t="s">
        <v>366</v>
      </c>
      <c r="J49" s="874" t="s">
        <v>368</v>
      </c>
      <c r="K49" s="874"/>
      <c r="L49" s="874" t="s">
        <v>330</v>
      </c>
      <c r="M49" s="1024" t="s">
        <v>62</v>
      </c>
      <c r="N49" s="699">
        <f>IF(BP[[#This Row],[Montant]]&gt;0,BP[[#This Row],[Montant]],0)</f>
        <v>3300</v>
      </c>
      <c r="O49" s="699">
        <f>IF(BP[[#This Row],[Montant]]&lt;0,-BP[[#This Row],[Montant]],0)</f>
        <v>0</v>
      </c>
      <c r="P49" s="699" t="str">
        <f>VLOOKUP(BP[[#This Row],[projet]],'Listes détails'!A:I,9,0)</f>
        <v>Formations des bénévoles (hors BAFA-BAFD)</v>
      </c>
      <c r="Q49" s="699" t="e">
        <f>VLOOKUP(BP[[#This Row],[Compta]],'Budget CR'!B:B,1,0)</f>
        <v>#N/A</v>
      </c>
      <c r="R49" s="699" t="str">
        <f>VLOOKUP(BP[[#This Row],[Compta]],'Budget CR'!G:G,1,0)</f>
        <v>Subventions Nationales</v>
      </c>
    </row>
    <row r="50" spans="1:18" x14ac:dyDescent="0.25">
      <c r="A50" s="699">
        <v>2025</v>
      </c>
      <c r="B50" s="699">
        <v>63</v>
      </c>
      <c r="C50" s="704"/>
      <c r="E50" s="586">
        <v>-1000</v>
      </c>
      <c r="F50" s="874"/>
      <c r="G50" s="874" t="s">
        <v>364</v>
      </c>
      <c r="H50" s="879" t="s">
        <v>365</v>
      </c>
      <c r="I50" s="874" t="s">
        <v>366</v>
      </c>
      <c r="J50" s="874" t="s">
        <v>369</v>
      </c>
      <c r="K50" s="874"/>
      <c r="L50" s="874" t="s">
        <v>330</v>
      </c>
      <c r="M50" s="1024" t="s">
        <v>106</v>
      </c>
      <c r="N50" s="699">
        <f>IF(BP[[#This Row],[Montant]]&gt;0,BP[[#This Row],[Montant]],0)</f>
        <v>0</v>
      </c>
      <c r="O50" s="699">
        <f>IF(BP[[#This Row],[Montant]]&lt;0,-BP[[#This Row],[Montant]],0)</f>
        <v>1000</v>
      </c>
      <c r="P50" s="699" t="str">
        <f>IFERROR(VLOOKUP(BP[[#This Row],[projet]],'Listes détails'!A:I,9,0),"")</f>
        <v>Formations des bénévoles (hors BAFA-BAFD)</v>
      </c>
      <c r="Q50" s="699" t="str">
        <f>VLOOKUP(BP[[#This Row],[Compta]],'Budget CR'!B:B,1,0)</f>
        <v>Achats denrées alimentaires</v>
      </c>
      <c r="R50" s="699" t="e">
        <f>VLOOKUP(BP[[#This Row],[Compta]],'Budget CR'!G:G,1,0)</f>
        <v>#N/A</v>
      </c>
    </row>
    <row r="51" spans="1:18" x14ac:dyDescent="0.25">
      <c r="A51" s="699">
        <v>2025</v>
      </c>
      <c r="B51" s="699">
        <v>116</v>
      </c>
      <c r="C51" s="704"/>
      <c r="E51" s="586">
        <v>-1000</v>
      </c>
      <c r="F51" s="874"/>
      <c r="G51" s="874" t="s">
        <v>384</v>
      </c>
      <c r="H51" s="879" t="s">
        <v>365</v>
      </c>
      <c r="I51" s="874" t="s">
        <v>366</v>
      </c>
      <c r="J51" s="874" t="s">
        <v>369</v>
      </c>
      <c r="K51" s="874"/>
      <c r="L51" s="874" t="s">
        <v>330</v>
      </c>
      <c r="M51" s="1024" t="s">
        <v>109</v>
      </c>
      <c r="N51" s="699">
        <f>IF(BP[[#This Row],[Montant]]&gt;0,BP[[#This Row],[Montant]],0)</f>
        <v>0</v>
      </c>
      <c r="O51" s="699">
        <f>IF(BP[[#This Row],[Montant]]&lt;0,-BP[[#This Row],[Montant]],0)</f>
        <v>1000</v>
      </c>
      <c r="P51" s="699" t="str">
        <f>IFERROR(VLOOKUP(BP[[#This Row],[projet]],'Listes détails'!A:I,9,0),"")</f>
        <v>Formations des bénévoles (hors BAFA-BAFD)</v>
      </c>
      <c r="Q51" s="699" t="str">
        <f>VLOOKUP(BP[[#This Row],[Compta]],'Budget CR'!B:B,1,0)</f>
        <v>Locations terrains et centres EEDF</v>
      </c>
      <c r="R51" s="699" t="e">
        <f>VLOOKUP(BP[[#This Row],[Compta]],'Budget CR'!G:G,1,0)</f>
        <v>#N/A</v>
      </c>
    </row>
    <row r="52" spans="1:18" x14ac:dyDescent="0.25">
      <c r="A52" s="699">
        <v>2025</v>
      </c>
      <c r="B52" s="699">
        <v>76</v>
      </c>
      <c r="C52" s="704"/>
      <c r="E52" s="586">
        <v>-1000</v>
      </c>
      <c r="F52" s="874"/>
      <c r="G52" s="874" t="s">
        <v>393</v>
      </c>
      <c r="H52" s="879" t="s">
        <v>365</v>
      </c>
      <c r="I52" s="874" t="s">
        <v>366</v>
      </c>
      <c r="J52" s="874" t="s">
        <v>369</v>
      </c>
      <c r="K52" s="874"/>
      <c r="L52" s="874" t="s">
        <v>330</v>
      </c>
      <c r="M52" s="1024" t="s">
        <v>137</v>
      </c>
      <c r="N52" s="699">
        <f>IF(BP[[#This Row],[Montant]]&gt;0,BP[[#This Row],[Montant]],0)</f>
        <v>0</v>
      </c>
      <c r="O52" s="699">
        <f>IF(BP[[#This Row],[Montant]]&lt;0,-BP[[#This Row],[Montant]],0)</f>
        <v>1000</v>
      </c>
      <c r="P52" s="699" t="str">
        <f>IFERROR(VLOOKUP(BP[[#This Row],[projet]],'Listes détails'!A:I,9,0),"")</f>
        <v>Formations des bénévoles (hors BAFA-BAFD)</v>
      </c>
      <c r="Q52" s="699" t="str">
        <f>VLOOKUP(BP[[#This Row],[Compta]],'Budget CR'!B:B,1,0)</f>
        <v>Transport des participants</v>
      </c>
      <c r="R52" s="699" t="e">
        <f>VLOOKUP(BP[[#This Row],[Compta]],'Budget CR'!G:G,1,0)</f>
        <v>#N/A</v>
      </c>
    </row>
    <row r="53" spans="1:18" x14ac:dyDescent="0.25">
      <c r="A53" s="699">
        <v>2025</v>
      </c>
      <c r="C53" s="704"/>
      <c r="E53" s="586">
        <v>3300</v>
      </c>
      <c r="F53" s="874"/>
      <c r="G53" s="874" t="s">
        <v>392</v>
      </c>
      <c r="H53" s="879" t="s">
        <v>365</v>
      </c>
      <c r="I53" s="874" t="s">
        <v>366</v>
      </c>
      <c r="J53" s="874" t="s">
        <v>369</v>
      </c>
      <c r="K53" s="874"/>
      <c r="L53" s="874" t="s">
        <v>330</v>
      </c>
      <c r="M53" s="1024" t="s">
        <v>62</v>
      </c>
      <c r="N53" s="699">
        <f>IF(BP[[#This Row],[Montant]]&gt;0,BP[[#This Row],[Montant]],0)</f>
        <v>3300</v>
      </c>
      <c r="O53" s="699">
        <f>IF(BP[[#This Row],[Montant]]&lt;0,-BP[[#This Row],[Montant]],0)</f>
        <v>0</v>
      </c>
      <c r="P53" s="699" t="str">
        <f>VLOOKUP(BP[[#This Row],[projet]],'Listes détails'!A:I,9,0)</f>
        <v>Formations des bénévoles (hors BAFA-BAFD)</v>
      </c>
      <c r="Q53" s="699" t="e">
        <f>VLOOKUP(BP[[#This Row],[Compta]],'Budget CR'!B:B,1,0)</f>
        <v>#N/A</v>
      </c>
      <c r="R53" s="699" t="str">
        <f>VLOOKUP(BP[[#This Row],[Compta]],'Budget CR'!G:G,1,0)</f>
        <v>Subventions Nationales</v>
      </c>
    </row>
    <row r="54" spans="1:18" x14ac:dyDescent="0.25">
      <c r="A54" s="699">
        <v>2025</v>
      </c>
      <c r="C54" s="704"/>
      <c r="E54" s="586">
        <v>-806.09</v>
      </c>
      <c r="F54" s="874"/>
      <c r="G54" s="874" t="s">
        <v>229</v>
      </c>
      <c r="H54" s="879" t="s">
        <v>335</v>
      </c>
      <c r="I54" s="874" t="s">
        <v>377</v>
      </c>
      <c r="J54" s="874" t="s">
        <v>378</v>
      </c>
      <c r="K54" s="874" t="s">
        <v>229</v>
      </c>
      <c r="L54" s="874" t="s">
        <v>330</v>
      </c>
      <c r="M54" s="1024" t="s">
        <v>130</v>
      </c>
      <c r="N54" s="699">
        <f>IF(BP[[#This Row],[Montant]]&gt;0,BP[[#This Row],[Montant]],0)</f>
        <v>0</v>
      </c>
      <c r="O54" s="699">
        <f>IF(BP[[#This Row],[Montant]]&lt;0,-BP[[#This Row],[Montant]],0)</f>
        <v>806.09</v>
      </c>
      <c r="P54" s="699">
        <f>VLOOKUP(BP[[#This Row],[projet]],'Listes détails'!A:I,9,0)</f>
        <v>0</v>
      </c>
      <c r="Q54" s="699" t="str">
        <f>VLOOKUP(BP[[#This Row],[Compta]],'Budget CR'!B:B,1,0)</f>
        <v>Primes d'assurance</v>
      </c>
      <c r="R54" s="699" t="e">
        <f>VLOOKUP(BP[[#This Row],[Compta]],'Budget CR'!G:G,1,0)</f>
        <v>#N/A</v>
      </c>
    </row>
    <row r="55" spans="1:18" x14ac:dyDescent="0.25">
      <c r="A55" s="699">
        <v>2025</v>
      </c>
      <c r="C55" s="704"/>
      <c r="E55" s="586">
        <v>-250</v>
      </c>
      <c r="F55" s="874"/>
      <c r="G55" s="874" t="s">
        <v>216</v>
      </c>
      <c r="H55" s="879" t="s">
        <v>335</v>
      </c>
      <c r="I55" s="874" t="s">
        <v>377</v>
      </c>
      <c r="J55" s="874" t="s">
        <v>378</v>
      </c>
      <c r="K55" s="874"/>
      <c r="L55" s="874" t="s">
        <v>330</v>
      </c>
      <c r="M55" s="1024" t="s">
        <v>108</v>
      </c>
      <c r="N55" s="699">
        <f>IF(BP[[#This Row],[Montant]]&gt;0,BP[[#This Row],[Montant]],0)</f>
        <v>0</v>
      </c>
      <c r="O55" s="699">
        <f>IF(BP[[#This Row],[Montant]]&lt;0,-BP[[#This Row],[Montant]],0)</f>
        <v>250</v>
      </c>
      <c r="P55" s="699">
        <f>VLOOKUP(BP[[#This Row],[projet]],'Listes détails'!A:I,9,0)</f>
        <v>0</v>
      </c>
      <c r="Q55" s="699" t="str">
        <f>VLOOKUP(BP[[#This Row],[Compta]],'Budget CR'!B:B,1,0)</f>
        <v>Carburants</v>
      </c>
      <c r="R55" s="699" t="e">
        <f>VLOOKUP(BP[[#This Row],[Compta]],'Budget CR'!G:G,1,0)</f>
        <v>#N/A</v>
      </c>
    </row>
    <row r="56" spans="1:18" x14ac:dyDescent="0.25">
      <c r="A56" s="699">
        <v>2025</v>
      </c>
      <c r="C56" s="704"/>
      <c r="E56" s="586">
        <v>1200</v>
      </c>
      <c r="F56" s="874"/>
      <c r="G56" s="874" t="s">
        <v>169</v>
      </c>
      <c r="H56" s="879" t="s">
        <v>335</v>
      </c>
      <c r="I56" s="874" t="s">
        <v>377</v>
      </c>
      <c r="J56" s="874" t="s">
        <v>378</v>
      </c>
      <c r="K56" s="874"/>
      <c r="L56" s="874" t="s">
        <v>330</v>
      </c>
      <c r="M56" s="1024" t="s">
        <v>61</v>
      </c>
      <c r="N56" s="699">
        <f>IF(BP[[#This Row],[Montant]]&gt;0,BP[[#This Row],[Montant]],0)</f>
        <v>1200</v>
      </c>
      <c r="O56" s="699">
        <f>IF(BP[[#This Row],[Montant]]&lt;0,-BP[[#This Row],[Montant]],0)</f>
        <v>0</v>
      </c>
      <c r="P56" s="699">
        <f>VLOOKUP(BP[[#This Row],[projet]],'Listes détails'!A:I,9,0)</f>
        <v>0</v>
      </c>
      <c r="Q56" s="699" t="e">
        <f>VLOOKUP(BP[[#This Row],[Compta]],'Budget CR'!B:B,1,0)</f>
        <v>#N/A</v>
      </c>
      <c r="R56" s="699" t="str">
        <f>VLOOKUP(BP[[#This Row],[Compta]],'Budget CR'!G:G,1,0)</f>
        <v>Produits activités annexes EEDF</v>
      </c>
    </row>
    <row r="57" spans="1:18" x14ac:dyDescent="0.25">
      <c r="C57" s="1241"/>
      <c r="G57" s="874"/>
      <c r="H57" s="814"/>
      <c r="J57" s="874"/>
      <c r="N57" s="699">
        <f>IF(BP[[#This Row],[Montant]]&gt;0,BP[[#This Row],[Montant]],0)</f>
        <v>0</v>
      </c>
      <c r="O57" s="699">
        <f>IF(BP[[#This Row],[Montant]]&lt;0,-BP[[#This Row],[Montant]],0)</f>
        <v>0</v>
      </c>
      <c r="P57" s="699" t="e">
        <f>VLOOKUP(BP[[#This Row],[projet]],'Listes détails'!A:I,9,0)</f>
        <v>#N/A</v>
      </c>
      <c r="Q57" s="699" t="e">
        <f>VLOOKUP(BP[[#This Row],[Compta]],'Budget CR'!B:B,1,0)</f>
        <v>#N/A</v>
      </c>
      <c r="R57" s="699" t="e">
        <f>VLOOKUP(BP[[#This Row],[Compta]],'Budget CR'!G:G,1,0)</f>
        <v>#N/A</v>
      </c>
    </row>
    <row r="60" spans="1:18" x14ac:dyDescent="0.25">
      <c r="K60" s="1242"/>
    </row>
    <row r="62" spans="1:18" x14ac:dyDescent="0.25">
      <c r="G62" s="1240"/>
    </row>
    <row r="64" spans="1:18" x14ac:dyDescent="0.25">
      <c r="G64" s="1244"/>
    </row>
    <row r="65" spans="7:7" x14ac:dyDescent="0.25">
      <c r="G65" s="1244"/>
    </row>
    <row r="66" spans="7:7" x14ac:dyDescent="0.25">
      <c r="G66" s="1244"/>
    </row>
    <row r="67" spans="7:7" x14ac:dyDescent="0.25">
      <c r="G67" s="1244"/>
    </row>
  </sheetData>
  <sheetProtection algorithmName="SHA-512" hashValue="znUMMFA+Dfgs7BzFJoEP7iQ0PirLwQb6PHzIl4sekMB4ipDbYOZuMYpL82+GXj7fOqqG82HVWJPkLvb1T7aTww==" saltValue="m0MAQbl6p/xJSL7Lq9h9gQ==" spinCount="100000" sheet="1" objects="1" scenarios="1"/>
  <conditionalFormatting sqref="K1 L2:L37 K3:K1048576">
    <cfRule type="cellIs" dxfId="9" priority="73" operator="equal">
      <formula>"OUI"</formula>
    </cfRule>
  </conditionalFormatting>
  <conditionalFormatting sqref="M35">
    <cfRule type="cellIs" dxfId="8" priority="3" operator="equal">
      <formula>"OUI"</formula>
    </cfRule>
  </conditionalFormatting>
  <conditionalFormatting sqref="M41:M42">
    <cfRule type="cellIs" dxfId="7" priority="1" operator="equal">
      <formula>"OUI"</formula>
    </cfRule>
  </conditionalFormatting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A00-000000000000}">
          <x14:formula1>
            <xm:f>'Soldes banque'!$O:$O</xm:f>
          </x14:formula1>
          <xm:sqref>D3:D22 D24:D57</xm:sqref>
        </x14:dataValidation>
        <x14:dataValidation type="list" allowBlank="1" showInputMessage="1" showErrorMessage="1" xr:uid="{00000000-0002-0000-0A00-000003000000}">
          <x14:formula1>
            <xm:f>'Rapport 3 - balance analytique'!$R$13:$R$1048576</xm:f>
          </x14:formula1>
          <xm:sqref>J58:J1048576</xm:sqref>
        </x14:dataValidation>
        <x14:dataValidation type="list" allowBlank="1" showInputMessage="1" showErrorMessage="1" xr:uid="{00000000-0002-0000-0A00-000002000000}">
          <x14:formula1>
            <xm:f>'Rapport 3 - balance analytique'!$Q$13:$Q$19</xm:f>
          </x14:formula1>
          <xm:sqref>I3:I1048576</xm:sqref>
        </x14:dataValidation>
        <x14:dataValidation type="list" allowBlank="1" showInputMessage="1" showErrorMessage="1" xr:uid="{00000000-0002-0000-0A00-000001000000}">
          <x14:formula1>
            <xm:f>'Rapport 3 - balance analytique'!$P$13:$P$16</xm:f>
          </x14:formula1>
          <xm:sqref>H3:H1048576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28"/>
  <sheetViews>
    <sheetView topLeftCell="A13" zoomScale="184" workbookViewId="0">
      <selection activeCell="C8" sqref="C8"/>
    </sheetView>
  </sheetViews>
  <sheetFormatPr defaultColWidth="11.42578125" defaultRowHeight="12" x14ac:dyDescent="0.2"/>
  <cols>
    <col min="1" max="1" width="29.85546875" bestFit="1" customWidth="1"/>
    <col min="2" max="2" width="14.140625" style="586" bestFit="1" customWidth="1"/>
    <col min="3" max="4" width="14.140625" bestFit="1" customWidth="1"/>
  </cols>
  <sheetData>
    <row r="1" spans="1:4" x14ac:dyDescent="0.2">
      <c r="A1" s="805" t="s">
        <v>329</v>
      </c>
      <c r="B1" t="s">
        <v>330</v>
      </c>
    </row>
    <row r="3" spans="1:4" x14ac:dyDescent="0.2">
      <c r="A3" s="805" t="s">
        <v>326</v>
      </c>
      <c r="B3" t="s">
        <v>398</v>
      </c>
      <c r="C3" t="s">
        <v>399</v>
      </c>
      <c r="D3" t="s">
        <v>327</v>
      </c>
    </row>
    <row r="4" spans="1:4" x14ac:dyDescent="0.2">
      <c r="A4" s="806" t="s">
        <v>335</v>
      </c>
      <c r="B4" s="1245"/>
      <c r="C4" s="1246"/>
      <c r="D4" s="875"/>
    </row>
    <row r="5" spans="1:4" x14ac:dyDescent="0.2">
      <c r="A5" s="807" t="s">
        <v>377</v>
      </c>
      <c r="B5" s="1245">
        <v>2950</v>
      </c>
      <c r="C5" s="1246">
        <v>2289.64</v>
      </c>
      <c r="D5" s="875">
        <v>660.36</v>
      </c>
    </row>
    <row r="6" spans="1:4" x14ac:dyDescent="0.2">
      <c r="A6" s="815" t="s">
        <v>333</v>
      </c>
      <c r="B6" s="1245">
        <v>1750</v>
      </c>
      <c r="C6" s="1246">
        <v>1233.55</v>
      </c>
      <c r="D6" s="875">
        <v>516.45000000000005</v>
      </c>
    </row>
    <row r="7" spans="1:4" x14ac:dyDescent="0.2">
      <c r="A7" s="1243" t="s">
        <v>229</v>
      </c>
      <c r="B7" s="1245">
        <v>0</v>
      </c>
      <c r="C7" s="1246">
        <v>733.55</v>
      </c>
      <c r="D7" s="875">
        <v>-733.55</v>
      </c>
    </row>
    <row r="8" spans="1:4" x14ac:dyDescent="0.2">
      <c r="A8" s="1243" t="s">
        <v>216</v>
      </c>
      <c r="B8" s="1245">
        <v>0</v>
      </c>
      <c r="C8" s="1246">
        <v>500</v>
      </c>
      <c r="D8" s="875">
        <v>-500</v>
      </c>
    </row>
    <row r="9" spans="1:4" x14ac:dyDescent="0.2">
      <c r="A9" s="1243" t="s">
        <v>169</v>
      </c>
      <c r="B9" s="1245">
        <v>1750</v>
      </c>
      <c r="C9" s="1246">
        <v>0</v>
      </c>
      <c r="D9" s="875">
        <v>1750</v>
      </c>
    </row>
    <row r="10" spans="1:4" x14ac:dyDescent="0.2">
      <c r="A10" s="815" t="s">
        <v>378</v>
      </c>
      <c r="B10" s="1245">
        <v>1200</v>
      </c>
      <c r="C10" s="1246">
        <v>1056.0900000000001</v>
      </c>
      <c r="D10" s="875">
        <v>143.90999999999985</v>
      </c>
    </row>
    <row r="11" spans="1:4" x14ac:dyDescent="0.2">
      <c r="A11" s="1243" t="s">
        <v>229</v>
      </c>
      <c r="B11" s="1245">
        <v>0</v>
      </c>
      <c r="C11" s="1246">
        <v>806.09</v>
      </c>
      <c r="D11" s="875">
        <v>-806.09</v>
      </c>
    </row>
    <row r="12" spans="1:4" x14ac:dyDescent="0.2">
      <c r="A12" s="1243" t="s">
        <v>216</v>
      </c>
      <c r="B12" s="1245">
        <v>0</v>
      </c>
      <c r="C12" s="1246">
        <v>250</v>
      </c>
      <c r="D12" s="875">
        <v>-250</v>
      </c>
    </row>
    <row r="13" spans="1:4" x14ac:dyDescent="0.2">
      <c r="A13" s="1243" t="s">
        <v>169</v>
      </c>
      <c r="B13" s="1245">
        <v>1200</v>
      </c>
      <c r="C13" s="1246">
        <v>0</v>
      </c>
      <c r="D13" s="875">
        <v>1200</v>
      </c>
    </row>
    <row r="14" spans="1:4" x14ac:dyDescent="0.2">
      <c r="A14" s="807" t="s">
        <v>360</v>
      </c>
      <c r="B14" s="1245">
        <v>4440</v>
      </c>
      <c r="C14" s="1246">
        <v>4882.7700000000004</v>
      </c>
      <c r="D14" s="875">
        <v>-442.77000000000044</v>
      </c>
    </row>
    <row r="15" spans="1:4" x14ac:dyDescent="0.2">
      <c r="A15" s="815" t="s">
        <v>361</v>
      </c>
      <c r="B15" s="1245">
        <v>0</v>
      </c>
      <c r="C15" s="1246">
        <v>70</v>
      </c>
      <c r="D15" s="875">
        <v>-70</v>
      </c>
    </row>
    <row r="16" spans="1:4" x14ac:dyDescent="0.2">
      <c r="A16" s="1243" t="s">
        <v>359</v>
      </c>
      <c r="B16" s="1245">
        <v>0</v>
      </c>
      <c r="C16" s="1246">
        <v>70</v>
      </c>
      <c r="D16" s="875">
        <v>-70</v>
      </c>
    </row>
    <row r="17" spans="1:4" x14ac:dyDescent="0.2">
      <c r="A17" s="815" t="s">
        <v>383</v>
      </c>
      <c r="B17" s="1245">
        <v>0</v>
      </c>
      <c r="C17" s="1246">
        <v>63.6</v>
      </c>
      <c r="D17" s="875">
        <v>-63.6</v>
      </c>
    </row>
    <row r="18" spans="1:4" x14ac:dyDescent="0.2">
      <c r="A18" s="1243" t="s">
        <v>382</v>
      </c>
      <c r="B18" s="1245">
        <v>0</v>
      </c>
      <c r="C18" s="1246">
        <v>63.6</v>
      </c>
      <c r="D18" s="875">
        <v>-63.6</v>
      </c>
    </row>
    <row r="19" spans="1:4" x14ac:dyDescent="0.2">
      <c r="A19" s="815" t="s">
        <v>340</v>
      </c>
      <c r="B19" s="1245">
        <v>4440</v>
      </c>
      <c r="C19" s="1246">
        <v>4749.17</v>
      </c>
      <c r="D19" s="875">
        <v>-309.17000000000007</v>
      </c>
    </row>
    <row r="20" spans="1:4" x14ac:dyDescent="0.2">
      <c r="A20" s="1243" t="s">
        <v>229</v>
      </c>
      <c r="B20" s="1245">
        <v>0</v>
      </c>
      <c r="C20" s="1246">
        <v>309.17</v>
      </c>
      <c r="D20" s="875">
        <v>-309.17</v>
      </c>
    </row>
    <row r="21" spans="1:4" x14ac:dyDescent="0.2">
      <c r="A21" s="1243" t="s">
        <v>385</v>
      </c>
      <c r="B21" s="1245">
        <v>0</v>
      </c>
      <c r="C21" s="1246">
        <v>4440</v>
      </c>
      <c r="D21" s="875">
        <v>-4440</v>
      </c>
    </row>
    <row r="22" spans="1:4" x14ac:dyDescent="0.2">
      <c r="A22" s="1243" t="s">
        <v>392</v>
      </c>
      <c r="B22" s="1245">
        <v>4440</v>
      </c>
      <c r="C22" s="1246">
        <v>0</v>
      </c>
      <c r="D22" s="875">
        <v>4440</v>
      </c>
    </row>
    <row r="23" spans="1:4" x14ac:dyDescent="0.2">
      <c r="A23" s="807" t="s">
        <v>363</v>
      </c>
      <c r="B23" s="1245">
        <v>350</v>
      </c>
      <c r="C23" s="1246">
        <v>2107.6</v>
      </c>
      <c r="D23" s="875">
        <v>-1757.6</v>
      </c>
    </row>
    <row r="24" spans="1:4" x14ac:dyDescent="0.2">
      <c r="A24" s="815" t="s">
        <v>362</v>
      </c>
      <c r="B24" s="1245">
        <v>350</v>
      </c>
      <c r="C24" s="1246">
        <v>350</v>
      </c>
      <c r="D24" s="875">
        <v>0</v>
      </c>
    </row>
    <row r="25" spans="1:4" x14ac:dyDescent="0.2">
      <c r="A25" s="1243" t="s">
        <v>362</v>
      </c>
      <c r="B25" s="1245">
        <v>350</v>
      </c>
      <c r="C25" s="1246">
        <v>350</v>
      </c>
      <c r="D25" s="875">
        <v>0</v>
      </c>
    </row>
    <row r="26" spans="1:4" x14ac:dyDescent="0.2">
      <c r="A26" s="815" t="s">
        <v>343</v>
      </c>
      <c r="B26" s="1245">
        <v>0</v>
      </c>
      <c r="C26" s="1246">
        <v>1757.6</v>
      </c>
      <c r="D26" s="875">
        <v>-1757.6</v>
      </c>
    </row>
    <row r="27" spans="1:4" x14ac:dyDescent="0.2">
      <c r="A27" s="1243" t="s">
        <v>343</v>
      </c>
      <c r="B27" s="1245">
        <v>0</v>
      </c>
      <c r="C27" s="1246">
        <v>1757.6</v>
      </c>
      <c r="D27" s="875">
        <v>-1757.6</v>
      </c>
    </row>
    <row r="28" spans="1:4" x14ac:dyDescent="0.2">
      <c r="A28" s="806" t="s">
        <v>365</v>
      </c>
      <c r="B28" s="1245">
        <v>63690</v>
      </c>
      <c r="C28" s="1246">
        <v>57640</v>
      </c>
      <c r="D28" s="875">
        <v>6050</v>
      </c>
    </row>
    <row r="29" spans="1:4" x14ac:dyDescent="0.2">
      <c r="A29" s="806" t="s">
        <v>370</v>
      </c>
      <c r="B29" s="1245">
        <v>2800</v>
      </c>
      <c r="C29" s="1246">
        <v>3650</v>
      </c>
      <c r="D29" s="875">
        <v>-850</v>
      </c>
    </row>
    <row r="30" spans="1:4" x14ac:dyDescent="0.2">
      <c r="A30" s="806" t="s">
        <v>341</v>
      </c>
      <c r="B30" s="1245">
        <v>74230</v>
      </c>
      <c r="C30" s="1246">
        <v>70570.009999999995</v>
      </c>
      <c r="D30" s="875">
        <v>3659.99</v>
      </c>
    </row>
    <row r="31" spans="1:4" x14ac:dyDescent="0.2">
      <c r="B31"/>
    </row>
    <row r="32" spans="1:4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  <row r="77" spans="2:2" x14ac:dyDescent="0.2">
      <c r="B77"/>
    </row>
    <row r="78" spans="2:2" x14ac:dyDescent="0.2">
      <c r="B78"/>
    </row>
    <row r="79" spans="2:2" x14ac:dyDescent="0.2">
      <c r="B79"/>
    </row>
    <row r="80" spans="2:2" x14ac:dyDescent="0.2">
      <c r="B80"/>
    </row>
    <row r="81" spans="2:2" x14ac:dyDescent="0.2">
      <c r="B81"/>
    </row>
    <row r="82" spans="2:2" x14ac:dyDescent="0.2">
      <c r="B82"/>
    </row>
    <row r="83" spans="2:2" x14ac:dyDescent="0.2">
      <c r="B83"/>
    </row>
    <row r="84" spans="2:2" x14ac:dyDescent="0.2">
      <c r="B84"/>
    </row>
    <row r="85" spans="2:2" x14ac:dyDescent="0.2">
      <c r="B85"/>
    </row>
    <row r="86" spans="2:2" x14ac:dyDescent="0.2">
      <c r="B86"/>
    </row>
    <row r="87" spans="2:2" x14ac:dyDescent="0.2">
      <c r="B87"/>
    </row>
    <row r="88" spans="2:2" x14ac:dyDescent="0.2">
      <c r="B88"/>
    </row>
    <row r="89" spans="2:2" x14ac:dyDescent="0.2">
      <c r="B89"/>
    </row>
    <row r="90" spans="2:2" x14ac:dyDescent="0.2">
      <c r="B90"/>
    </row>
    <row r="91" spans="2:2" x14ac:dyDescent="0.2">
      <c r="B91"/>
    </row>
    <row r="92" spans="2:2" x14ac:dyDescent="0.2">
      <c r="B92"/>
    </row>
    <row r="93" spans="2:2" x14ac:dyDescent="0.2">
      <c r="B93"/>
    </row>
    <row r="94" spans="2:2" x14ac:dyDescent="0.2">
      <c r="B94"/>
    </row>
    <row r="95" spans="2:2" x14ac:dyDescent="0.2">
      <c r="B95"/>
    </row>
    <row r="96" spans="2:2" x14ac:dyDescent="0.2">
      <c r="B96"/>
    </row>
    <row r="97" spans="2:2" x14ac:dyDescent="0.2">
      <c r="B97"/>
    </row>
    <row r="98" spans="2:2" x14ac:dyDescent="0.2">
      <c r="B98"/>
    </row>
    <row r="99" spans="2:2" x14ac:dyDescent="0.2">
      <c r="B99"/>
    </row>
    <row r="100" spans="2:2" x14ac:dyDescent="0.2">
      <c r="B100"/>
    </row>
    <row r="101" spans="2:2" x14ac:dyDescent="0.2">
      <c r="B101"/>
    </row>
    <row r="102" spans="2:2" x14ac:dyDescent="0.2">
      <c r="B102"/>
    </row>
    <row r="103" spans="2:2" x14ac:dyDescent="0.2">
      <c r="B103"/>
    </row>
    <row r="104" spans="2:2" x14ac:dyDescent="0.2">
      <c r="B104"/>
    </row>
    <row r="105" spans="2:2" x14ac:dyDescent="0.2">
      <c r="B105"/>
    </row>
    <row r="106" spans="2:2" x14ac:dyDescent="0.2">
      <c r="B106"/>
    </row>
    <row r="107" spans="2:2" x14ac:dyDescent="0.2">
      <c r="B107"/>
    </row>
    <row r="108" spans="2:2" x14ac:dyDescent="0.2">
      <c r="B108"/>
    </row>
    <row r="109" spans="2:2" x14ac:dyDescent="0.2">
      <c r="B109"/>
    </row>
    <row r="110" spans="2:2" x14ac:dyDescent="0.2">
      <c r="B110"/>
    </row>
    <row r="111" spans="2:2" x14ac:dyDescent="0.2">
      <c r="B111"/>
    </row>
    <row r="112" spans="2:2" x14ac:dyDescent="0.2">
      <c r="B112"/>
    </row>
    <row r="113" spans="2:2" x14ac:dyDescent="0.2">
      <c r="B113"/>
    </row>
    <row r="114" spans="2:2" x14ac:dyDescent="0.2">
      <c r="B114"/>
    </row>
    <row r="115" spans="2:2" x14ac:dyDescent="0.2">
      <c r="B115"/>
    </row>
    <row r="116" spans="2:2" x14ac:dyDescent="0.2">
      <c r="B116"/>
    </row>
    <row r="117" spans="2:2" x14ac:dyDescent="0.2">
      <c r="B117"/>
    </row>
    <row r="118" spans="2:2" x14ac:dyDescent="0.2">
      <c r="B118"/>
    </row>
    <row r="119" spans="2:2" x14ac:dyDescent="0.2">
      <c r="B119"/>
    </row>
    <row r="120" spans="2:2" x14ac:dyDescent="0.2">
      <c r="B120"/>
    </row>
    <row r="121" spans="2:2" x14ac:dyDescent="0.2">
      <c r="B121"/>
    </row>
    <row r="122" spans="2:2" x14ac:dyDescent="0.2">
      <c r="B122"/>
    </row>
    <row r="123" spans="2:2" x14ac:dyDescent="0.2">
      <c r="B123"/>
    </row>
    <row r="124" spans="2:2" x14ac:dyDescent="0.2">
      <c r="B124"/>
    </row>
    <row r="125" spans="2:2" x14ac:dyDescent="0.2">
      <c r="B125"/>
    </row>
    <row r="126" spans="2:2" x14ac:dyDescent="0.2">
      <c r="B126"/>
    </row>
    <row r="127" spans="2:2" x14ac:dyDescent="0.2">
      <c r="B127"/>
    </row>
    <row r="128" spans="2:2" x14ac:dyDescent="0.2">
      <c r="B128"/>
    </row>
  </sheetData>
  <pageMargins left="0.7" right="0.7" top="0.75" bottom="0.75" header="0.3" footer="0.3"/>
  <pageSetup paperSize="9" orientation="portrait" r:id="rId2"/>
  <headerFooter>
    <oddFooter>&amp;C&amp;1#&amp;"Calibri"&amp;10&amp;K000000Usage Interne / Internal Use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39997558519241921"/>
  </sheetPr>
  <dimension ref="A1:O32"/>
  <sheetViews>
    <sheetView workbookViewId="0"/>
  </sheetViews>
  <sheetFormatPr defaultColWidth="8.85546875" defaultRowHeight="12" x14ac:dyDescent="0.2"/>
  <cols>
    <col min="1" max="1" width="28.42578125" customWidth="1"/>
    <col min="2" max="2" width="11.85546875" bestFit="1" customWidth="1"/>
    <col min="3" max="3" width="2.42578125" customWidth="1"/>
    <col min="4" max="4" width="11.7109375" bestFit="1" customWidth="1"/>
    <col min="5" max="5" width="12.140625" customWidth="1"/>
    <col min="6" max="6" width="20.7109375" bestFit="1" customWidth="1"/>
    <col min="7" max="7" width="11.5703125" bestFit="1" customWidth="1"/>
    <col min="8" max="8" width="9.28515625" bestFit="1" customWidth="1"/>
    <col min="9" max="9" width="10.5703125" bestFit="1" customWidth="1"/>
    <col min="15" max="15" width="23.42578125" bestFit="1" customWidth="1"/>
  </cols>
  <sheetData>
    <row r="1" spans="1:15" x14ac:dyDescent="0.2">
      <c r="O1" t="str">
        <f>J12</f>
        <v>BRED-Moselle</v>
      </c>
    </row>
    <row r="2" spans="1:15" x14ac:dyDescent="0.2">
      <c r="O2" t="str">
        <f>J13</f>
        <v>BRED - LA</v>
      </c>
    </row>
    <row r="3" spans="1:15" x14ac:dyDescent="0.2">
      <c r="A3" t="s">
        <v>423</v>
      </c>
      <c r="B3" s="713">
        <f>MAX(BP[Date])</f>
        <v>0</v>
      </c>
      <c r="O3" t="str">
        <f>F20</f>
        <v>Cheque non encaissés</v>
      </c>
    </row>
    <row r="4" spans="1:15" x14ac:dyDescent="0.2">
      <c r="A4" t="s">
        <v>424</v>
      </c>
      <c r="B4" s="793">
        <f ca="1">TODAY()</f>
        <v>45666</v>
      </c>
      <c r="O4" t="str">
        <f>F23</f>
        <v>Non payé-F en attente</v>
      </c>
    </row>
    <row r="5" spans="1:15" x14ac:dyDescent="0.2">
      <c r="A5" t="s">
        <v>425</v>
      </c>
      <c r="B5">
        <f ca="1">B4-B3</f>
        <v>45666</v>
      </c>
      <c r="C5" s="1351" t="str">
        <f ca="1">IF(B5=0,"Liste à jour",CONCATENATE("il y a ",B5," jour(s) de retard"))</f>
        <v>il y a 45666 jour(s) de retard</v>
      </c>
      <c r="D5" s="1351"/>
      <c r="E5" s="1351"/>
      <c r="O5" t="str">
        <f>F24</f>
        <v>Non payé-Facture émise</v>
      </c>
    </row>
    <row r="6" spans="1:15" x14ac:dyDescent="0.2">
      <c r="O6" t="str">
        <f>G23</f>
        <v>Non payé-Facture reçue</v>
      </c>
    </row>
    <row r="7" spans="1:15" x14ac:dyDescent="0.2">
      <c r="F7" s="588">
        <f>F13+F12</f>
        <v>28909.23</v>
      </c>
      <c r="O7" t="str">
        <f>G24</f>
        <v>Non payé-Facture à émettre</v>
      </c>
    </row>
    <row r="8" spans="1:15" x14ac:dyDescent="0.2">
      <c r="O8" t="s">
        <v>426</v>
      </c>
    </row>
    <row r="9" spans="1:15" x14ac:dyDescent="0.2">
      <c r="F9" t="s">
        <v>427</v>
      </c>
      <c r="G9" t="s">
        <v>428</v>
      </c>
      <c r="H9" t="s">
        <v>429</v>
      </c>
    </row>
    <row r="10" spans="1:15" x14ac:dyDescent="0.2">
      <c r="A10" t="s">
        <v>430</v>
      </c>
      <c r="B10" t="s">
        <v>431</v>
      </c>
      <c r="D10" t="s">
        <v>432</v>
      </c>
      <c r="F10" t="str">
        <f>CONCATENATE("Au ",DAY(B3),"/",MONTH(B3),"/",YEAR(B3))</f>
        <v>Au 0/1/1900</v>
      </c>
      <c r="G10" t="str">
        <f>CONCATENATE("Au ",DAY(B3),"/",MONTH(B3),"/",YEAR(B3))</f>
        <v>Au 0/1/1900</v>
      </c>
    </row>
    <row r="12" spans="1:15" x14ac:dyDescent="0.2">
      <c r="A12" t="s">
        <v>433</v>
      </c>
      <c r="B12" s="586">
        <v>8357.16</v>
      </c>
      <c r="C12" s="586"/>
      <c r="D12" s="586">
        <f>SUMIFS('Liste prévisionnel'!E:E,'Liste prévisionnel'!D:D,'Soldes banque'!J12)</f>
        <v>0</v>
      </c>
      <c r="E12" s="586"/>
      <c r="F12" s="794">
        <v>19837.93</v>
      </c>
      <c r="G12" s="586">
        <f>B12+D12</f>
        <v>8357.16</v>
      </c>
      <c r="H12" s="586" t="str">
        <f>IF(ROUND(F12-G12,2)=0,"Ok","Erreur")</f>
        <v>Erreur</v>
      </c>
      <c r="I12" s="588">
        <f>F12-G12</f>
        <v>11480.77</v>
      </c>
      <c r="J12" t="s">
        <v>434</v>
      </c>
    </row>
    <row r="13" spans="1:15" x14ac:dyDescent="0.2">
      <c r="A13" t="s">
        <v>435</v>
      </c>
      <c r="B13" s="586">
        <v>5158.6099999999997</v>
      </c>
      <c r="C13" s="586"/>
      <c r="D13" s="586">
        <f>SUMIFS('Liste prévisionnel'!E:E,'Liste prévisionnel'!D:D,'Soldes banque'!J13)</f>
        <v>0</v>
      </c>
      <c r="E13" s="586"/>
      <c r="F13" s="794">
        <v>9071.2999999999993</v>
      </c>
      <c r="G13" s="586">
        <f>B13+D13</f>
        <v>5158.6099999999997</v>
      </c>
      <c r="H13" s="586" t="str">
        <f>IF(ROUND(F13-G13,2)=0,"Ok","Erreur")</f>
        <v>Erreur</v>
      </c>
      <c r="I13" s="588">
        <f>F13-G13</f>
        <v>3912.6899999999996</v>
      </c>
      <c r="J13" t="s">
        <v>436</v>
      </c>
    </row>
    <row r="15" spans="1:15" x14ac:dyDescent="0.2">
      <c r="A15" t="s">
        <v>437</v>
      </c>
      <c r="B15" t="s">
        <v>431</v>
      </c>
      <c r="D15" t="s">
        <v>432</v>
      </c>
      <c r="F15" t="s">
        <v>427</v>
      </c>
      <c r="G15" t="s">
        <v>428</v>
      </c>
      <c r="H15" t="s">
        <v>429</v>
      </c>
    </row>
    <row r="16" spans="1:15" x14ac:dyDescent="0.2">
      <c r="A16" t="s">
        <v>438</v>
      </c>
      <c r="B16" s="586">
        <v>0</v>
      </c>
      <c r="C16" s="586"/>
      <c r="D16" s="586">
        <v>0</v>
      </c>
      <c r="F16" s="586">
        <v>0</v>
      </c>
      <c r="G16" s="586">
        <v>0</v>
      </c>
      <c r="H16" s="586" t="str">
        <f>IF(ROUND(F16-G16,2)=0,"Ok","Erreur")</f>
        <v>Ok</v>
      </c>
    </row>
    <row r="17" spans="1:7" x14ac:dyDescent="0.2">
      <c r="B17" s="586"/>
      <c r="C17" s="586"/>
      <c r="D17" s="586"/>
    </row>
    <row r="19" spans="1:7" x14ac:dyDescent="0.2">
      <c r="A19" t="s">
        <v>439</v>
      </c>
    </row>
    <row r="20" spans="1:7" x14ac:dyDescent="0.2">
      <c r="A20" t="s">
        <v>440</v>
      </c>
      <c r="B20" s="586">
        <f>SUMIFS(BP[Montant],BP[Compte/caisse/CHQ],'Soldes banque'!F20,BP[Montant],"&gt;0")+SUMIFS(BP[Montant],BP[Compte/caisse/CHQ],'Soldes banque'!G20,BP[Montant],"&gt;0")</f>
        <v>0</v>
      </c>
      <c r="F20" t="s">
        <v>440</v>
      </c>
    </row>
    <row r="23" spans="1:7" x14ac:dyDescent="0.2">
      <c r="A23" t="s">
        <v>441</v>
      </c>
      <c r="B23" s="586">
        <f>SUMIFS(BP[Montant],BP[Compte/caisse/CHQ],'Soldes banque'!F23,BP[Montant],"&lt;0")+SUMIFS(BP[Montant],BP[Compte/caisse/CHQ],'Soldes banque'!G23,BP[Montant],"&lt;0")</f>
        <v>0</v>
      </c>
      <c r="F23" t="s">
        <v>442</v>
      </c>
      <c r="G23" t="s">
        <v>443</v>
      </c>
    </row>
    <row r="24" spans="1:7" x14ac:dyDescent="0.2">
      <c r="A24" t="s">
        <v>444</v>
      </c>
      <c r="B24" s="586">
        <f>SUMIFS(BP[Montant],BP[Compte/caisse/CHQ],'Soldes banque'!F24,BP[Montant],"&gt;0")+SUMIFS(BP[Montant],BP[Compte/caisse/CHQ],'Soldes banque'!G24,BP[Montant],"&gt;0")</f>
        <v>0</v>
      </c>
      <c r="F24" t="s">
        <v>445</v>
      </c>
      <c r="G24" t="s">
        <v>446</v>
      </c>
    </row>
    <row r="25" spans="1:7" x14ac:dyDescent="0.2">
      <c r="B25" t="s">
        <v>211</v>
      </c>
      <c r="D25" t="s">
        <v>447</v>
      </c>
      <c r="E25" t="s">
        <v>433</v>
      </c>
    </row>
    <row r="26" spans="1:7" x14ac:dyDescent="0.2">
      <c r="A26" t="s">
        <v>448</v>
      </c>
      <c r="B26" s="586">
        <f>E26+D26</f>
        <v>0</v>
      </c>
      <c r="D26" s="586">
        <f>-SUMIFS(BP[Montant],BP[Compte/caisse/CHQ],'Soldes banque'!J13,BP[Montant],"&lt;0",BP[A reverser],"OUI")</f>
        <v>0</v>
      </c>
      <c r="E26" s="586">
        <f>-SUMIFS(BP[Montant],BP[Compte/caisse/CHQ],'Soldes banque'!J12,BP[Montant],"&lt;0",BP[A reverser],"OUI")</f>
        <v>0</v>
      </c>
    </row>
    <row r="27" spans="1:7" x14ac:dyDescent="0.2">
      <c r="A27" t="s">
        <v>329</v>
      </c>
      <c r="B27" s="586">
        <f>E27+D27</f>
        <v>0</v>
      </c>
      <c r="D27" s="586">
        <f>SUMIFS(BP[Montant],BP[Compte/caisse/CHQ],'Soldes banque'!J13,BP[Montant],"&gt;0",BP[A reverser],"OUI")</f>
        <v>0</v>
      </c>
      <c r="E27" s="586">
        <f>SUMIFS(BP[Montant],BP[Compte/caisse/CHQ],'Soldes banque'!J12,BP[Montant],"&gt;0",BP[A reverser],"OUI")</f>
        <v>0</v>
      </c>
    </row>
    <row r="28" spans="1:7" x14ac:dyDescent="0.2">
      <c r="B28" s="586"/>
      <c r="D28" s="586"/>
      <c r="E28" s="586"/>
    </row>
    <row r="29" spans="1:7" x14ac:dyDescent="0.2">
      <c r="A29" t="s">
        <v>449</v>
      </c>
      <c r="B29" s="586">
        <f>B26-B27</f>
        <v>0</v>
      </c>
      <c r="C29" s="586"/>
      <c r="D29" s="586"/>
    </row>
    <row r="30" spans="1:7" x14ac:dyDescent="0.2">
      <c r="B30" s="586"/>
      <c r="C30" s="586"/>
      <c r="D30" s="586"/>
    </row>
    <row r="32" spans="1:7" x14ac:dyDescent="0.2">
      <c r="E32" t="s">
        <v>450</v>
      </c>
      <c r="F32" s="586">
        <f>F12+F13+B23+B24+B29</f>
        <v>28909.23</v>
      </c>
    </row>
  </sheetData>
  <mergeCells count="1">
    <mergeCell ref="C5:E5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3:D7"/>
  <sheetViews>
    <sheetView workbookViewId="0"/>
  </sheetViews>
  <sheetFormatPr defaultColWidth="11.42578125" defaultRowHeight="12" x14ac:dyDescent="0.2"/>
  <sheetData>
    <row r="3" spans="1:4" x14ac:dyDescent="0.2">
      <c r="A3" t="s">
        <v>451</v>
      </c>
      <c r="B3">
        <v>594.72</v>
      </c>
    </row>
    <row r="4" spans="1:4" x14ac:dyDescent="0.2">
      <c r="A4" t="s">
        <v>452</v>
      </c>
      <c r="B4" s="801">
        <v>575.26</v>
      </c>
    </row>
    <row r="5" spans="1:4" x14ac:dyDescent="0.2">
      <c r="A5" t="s">
        <v>453</v>
      </c>
      <c r="B5" s="802">
        <v>33.4</v>
      </c>
    </row>
    <row r="6" spans="1:4" x14ac:dyDescent="0.2">
      <c r="A6" t="s">
        <v>454</v>
      </c>
      <c r="B6">
        <f>D6+C6</f>
        <v>46.989999999999995</v>
      </c>
      <c r="C6">
        <v>25.99</v>
      </c>
      <c r="D6">
        <v>21</v>
      </c>
    </row>
    <row r="7" spans="1:4" x14ac:dyDescent="0.2">
      <c r="B7" s="586">
        <f>SUM(B3:B6)</f>
        <v>1250.3700000000001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39997558519241921"/>
  </sheetPr>
  <dimension ref="A1"/>
  <sheetViews>
    <sheetView workbookViewId="0"/>
  </sheetViews>
  <sheetFormatPr defaultColWidth="8.85546875" defaultRowHeight="12" x14ac:dyDescent="0.2"/>
  <sheetData/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0.39997558519241921"/>
  </sheetPr>
  <dimension ref="A2:I49"/>
  <sheetViews>
    <sheetView workbookViewId="0"/>
  </sheetViews>
  <sheetFormatPr defaultColWidth="9.140625" defaultRowHeight="15" x14ac:dyDescent="0.25"/>
  <cols>
    <col min="1" max="2" width="9.140625" style="699"/>
    <col min="3" max="3" width="19.5703125" style="699" customWidth="1"/>
    <col min="4" max="4" width="11.42578125" style="699" bestFit="1" customWidth="1"/>
    <col min="5" max="5" width="15.85546875" style="699" bestFit="1" customWidth="1"/>
    <col min="6" max="6" width="26" style="699" customWidth="1"/>
    <col min="7" max="7" width="15.85546875" style="699" bestFit="1" customWidth="1"/>
    <col min="8" max="8" width="26.42578125" style="699" bestFit="1" customWidth="1"/>
    <col min="9" max="16384" width="9.140625" style="699"/>
  </cols>
  <sheetData>
    <row r="2" spans="1:9" x14ac:dyDescent="0.25">
      <c r="A2" s="699" t="s">
        <v>324</v>
      </c>
      <c r="B2" s="699" t="s">
        <v>345</v>
      </c>
      <c r="C2" s="699" t="s">
        <v>346</v>
      </c>
      <c r="D2" s="699" t="s">
        <v>347</v>
      </c>
      <c r="E2" s="699" t="s">
        <v>8</v>
      </c>
      <c r="F2" s="699" t="s">
        <v>455</v>
      </c>
      <c r="G2" s="699" t="s">
        <v>352</v>
      </c>
      <c r="H2" s="699" t="s">
        <v>353</v>
      </c>
      <c r="I2" s="699" t="s">
        <v>354</v>
      </c>
    </row>
    <row r="3" spans="1:9" hidden="1" x14ac:dyDescent="0.25">
      <c r="B3" s="704"/>
      <c r="D3" s="586">
        <v>200</v>
      </c>
      <c r="E3" s="586" t="s">
        <v>18</v>
      </c>
      <c r="F3" s="586" t="s">
        <v>74</v>
      </c>
      <c r="G3" s="586" t="s">
        <v>176</v>
      </c>
      <c r="H3" s="586"/>
      <c r="I3" s="586" t="s">
        <v>335</v>
      </c>
    </row>
    <row r="4" spans="1:9" hidden="1" x14ac:dyDescent="0.25">
      <c r="B4" s="704"/>
      <c r="D4" s="586">
        <v>-200</v>
      </c>
      <c r="E4" s="586" t="s">
        <v>18</v>
      </c>
      <c r="F4" s="586" t="s">
        <v>148</v>
      </c>
      <c r="G4" s="586" t="s">
        <v>176</v>
      </c>
      <c r="H4" s="586"/>
      <c r="I4" s="586" t="s">
        <v>335</v>
      </c>
    </row>
    <row r="5" spans="1:9" hidden="1" x14ac:dyDescent="0.25">
      <c r="B5" s="704"/>
      <c r="D5" s="586">
        <f>-120*5</f>
        <v>-600</v>
      </c>
      <c r="E5" s="586" t="s">
        <v>14</v>
      </c>
      <c r="F5" s="586" t="s">
        <v>54</v>
      </c>
      <c r="G5" s="586" t="s">
        <v>14</v>
      </c>
      <c r="H5" s="586"/>
      <c r="I5" s="586"/>
    </row>
    <row r="6" spans="1:9" hidden="1" x14ac:dyDescent="0.25">
      <c r="B6" s="704"/>
      <c r="D6" s="586">
        <v>-892.5</v>
      </c>
      <c r="E6" s="586" t="s">
        <v>27</v>
      </c>
      <c r="F6" s="586" t="s">
        <v>106</v>
      </c>
      <c r="G6" s="586" t="s">
        <v>456</v>
      </c>
      <c r="H6" s="586"/>
      <c r="I6" s="586"/>
    </row>
    <row r="7" spans="1:9" hidden="1" x14ac:dyDescent="0.25">
      <c r="B7" s="704"/>
      <c r="D7" s="586">
        <v>-177.5</v>
      </c>
      <c r="E7" s="586" t="s">
        <v>27</v>
      </c>
      <c r="F7" s="586" t="s">
        <v>107</v>
      </c>
      <c r="G7" s="586" t="s">
        <v>456</v>
      </c>
      <c r="H7" s="586"/>
      <c r="I7" s="586"/>
    </row>
    <row r="8" spans="1:9" hidden="1" x14ac:dyDescent="0.25">
      <c r="B8" s="704"/>
      <c r="D8" s="586">
        <v>-50</v>
      </c>
      <c r="E8" s="586" t="s">
        <v>27</v>
      </c>
      <c r="F8" s="586" t="s">
        <v>108</v>
      </c>
      <c r="G8" s="586" t="s">
        <v>456</v>
      </c>
      <c r="H8" s="586"/>
      <c r="I8" s="586"/>
    </row>
    <row r="9" spans="1:9" hidden="1" x14ac:dyDescent="0.25">
      <c r="B9" s="704"/>
      <c r="D9" s="586">
        <v>-2800</v>
      </c>
      <c r="E9" s="586" t="s">
        <v>27</v>
      </c>
      <c r="F9" s="586" t="s">
        <v>109</v>
      </c>
      <c r="G9" s="586" t="s">
        <v>456</v>
      </c>
      <c r="H9" s="586"/>
      <c r="I9" s="586"/>
    </row>
    <row r="10" spans="1:9" hidden="1" x14ac:dyDescent="0.25">
      <c r="B10" s="704"/>
      <c r="D10" s="586">
        <v>-100</v>
      </c>
      <c r="E10" s="586" t="s">
        <v>27</v>
      </c>
      <c r="F10" s="586" t="s">
        <v>138</v>
      </c>
      <c r="G10" s="586" t="s">
        <v>456</v>
      </c>
      <c r="H10" s="586"/>
      <c r="I10" s="586"/>
    </row>
    <row r="11" spans="1:9" hidden="1" x14ac:dyDescent="0.25">
      <c r="B11" s="704"/>
      <c r="D11" s="586">
        <v>1387.5</v>
      </c>
      <c r="E11" s="586" t="s">
        <v>27</v>
      </c>
      <c r="F11" s="586" t="s">
        <v>53</v>
      </c>
      <c r="G11" s="586" t="s">
        <v>456</v>
      </c>
      <c r="H11" s="586"/>
      <c r="I11" s="586"/>
    </row>
    <row r="12" spans="1:9" hidden="1" x14ac:dyDescent="0.25">
      <c r="B12" s="704"/>
      <c r="D12" s="586">
        <v>2887.5</v>
      </c>
      <c r="E12" s="586" t="s">
        <v>27</v>
      </c>
      <c r="F12" s="586" t="s">
        <v>54</v>
      </c>
      <c r="G12" s="586" t="s">
        <v>456</v>
      </c>
      <c r="H12" s="586"/>
      <c r="I12" s="586"/>
    </row>
    <row r="13" spans="1:9" hidden="1" x14ac:dyDescent="0.25">
      <c r="B13" s="704"/>
      <c r="D13" s="586">
        <v>-892.5</v>
      </c>
      <c r="E13" s="586" t="s">
        <v>27</v>
      </c>
      <c r="F13" s="586" t="s">
        <v>106</v>
      </c>
      <c r="G13" s="586" t="s">
        <v>332</v>
      </c>
      <c r="H13" s="586"/>
      <c r="I13" s="586"/>
    </row>
    <row r="14" spans="1:9" hidden="1" x14ac:dyDescent="0.25">
      <c r="B14" s="704"/>
      <c r="D14" s="586">
        <v>-177.5</v>
      </c>
      <c r="E14" s="586" t="s">
        <v>27</v>
      </c>
      <c r="F14" s="586" t="s">
        <v>107</v>
      </c>
      <c r="G14" s="586" t="s">
        <v>332</v>
      </c>
      <c r="H14" s="586"/>
      <c r="I14" s="586"/>
    </row>
    <row r="15" spans="1:9" hidden="1" x14ac:dyDescent="0.25">
      <c r="B15" s="704"/>
      <c r="D15" s="586">
        <v>-50</v>
      </c>
      <c r="E15" s="586" t="s">
        <v>27</v>
      </c>
      <c r="F15" s="586" t="s">
        <v>108</v>
      </c>
      <c r="G15" s="586" t="s">
        <v>332</v>
      </c>
      <c r="H15" s="586"/>
      <c r="I15" s="586"/>
    </row>
    <row r="16" spans="1:9" hidden="1" x14ac:dyDescent="0.25">
      <c r="B16" s="704"/>
      <c r="D16" s="586">
        <v>-2800</v>
      </c>
      <c r="E16" s="586" t="s">
        <v>27</v>
      </c>
      <c r="F16" s="586" t="s">
        <v>109</v>
      </c>
      <c r="G16" s="586" t="s">
        <v>332</v>
      </c>
      <c r="H16" s="586"/>
      <c r="I16" s="586"/>
    </row>
    <row r="17" spans="2:9" hidden="1" x14ac:dyDescent="0.25">
      <c r="B17" s="704"/>
      <c r="D17" s="586">
        <v>-100</v>
      </c>
      <c r="E17" s="586" t="s">
        <v>27</v>
      </c>
      <c r="F17" s="586" t="s">
        <v>138</v>
      </c>
      <c r="G17" s="586" t="s">
        <v>332</v>
      </c>
      <c r="H17" s="586"/>
      <c r="I17" s="586"/>
    </row>
    <row r="18" spans="2:9" hidden="1" x14ac:dyDescent="0.25">
      <c r="B18" s="704"/>
      <c r="D18" s="586">
        <v>1387.5</v>
      </c>
      <c r="E18" s="586" t="s">
        <v>27</v>
      </c>
      <c r="F18" s="586" t="s">
        <v>53</v>
      </c>
      <c r="G18" s="586" t="s">
        <v>332</v>
      </c>
      <c r="H18" s="586"/>
      <c r="I18" s="586"/>
    </row>
    <row r="19" spans="2:9" hidden="1" x14ac:dyDescent="0.25">
      <c r="B19" s="704"/>
      <c r="D19" s="586">
        <v>2887.5</v>
      </c>
      <c r="E19" s="586" t="s">
        <v>27</v>
      </c>
      <c r="F19" s="586" t="s">
        <v>54</v>
      </c>
      <c r="G19" s="586" t="s">
        <v>332</v>
      </c>
      <c r="H19" s="586"/>
      <c r="I19" s="586"/>
    </row>
    <row r="20" spans="2:9" hidden="1" x14ac:dyDescent="0.25">
      <c r="B20" s="704"/>
      <c r="D20" s="586">
        <v>-695.65</v>
      </c>
      <c r="E20" s="586" t="s">
        <v>32</v>
      </c>
      <c r="F20" s="586" t="s">
        <v>130</v>
      </c>
      <c r="G20" s="586" t="s">
        <v>333</v>
      </c>
      <c r="H20" s="586" t="s">
        <v>457</v>
      </c>
      <c r="I20" s="586" t="s">
        <v>335</v>
      </c>
    </row>
    <row r="21" spans="2:9" hidden="1" x14ac:dyDescent="0.25">
      <c r="B21" s="704"/>
      <c r="D21" s="586">
        <v>-200</v>
      </c>
      <c r="E21" s="586" t="s">
        <v>32</v>
      </c>
      <c r="F21" s="586" t="s">
        <v>129</v>
      </c>
      <c r="G21" s="586" t="s">
        <v>333</v>
      </c>
      <c r="H21" s="586" t="s">
        <v>458</v>
      </c>
      <c r="I21" s="586" t="s">
        <v>335</v>
      </c>
    </row>
    <row r="22" spans="2:9" hidden="1" x14ac:dyDescent="0.25">
      <c r="B22" s="704"/>
      <c r="D22" s="586">
        <v>900</v>
      </c>
      <c r="E22" s="586" t="s">
        <v>32</v>
      </c>
      <c r="F22" s="586" t="s">
        <v>60</v>
      </c>
      <c r="G22" s="586" t="s">
        <v>333</v>
      </c>
      <c r="H22" s="586" t="s">
        <v>459</v>
      </c>
      <c r="I22" s="586" t="s">
        <v>335</v>
      </c>
    </row>
    <row r="23" spans="2:9" hidden="1" x14ac:dyDescent="0.25">
      <c r="B23" s="704"/>
      <c r="D23" s="586">
        <f>-4*120</f>
        <v>-480</v>
      </c>
      <c r="E23" s="586" t="s">
        <v>15</v>
      </c>
      <c r="F23" s="586" t="s">
        <v>54</v>
      </c>
      <c r="G23" s="586" t="s">
        <v>416</v>
      </c>
      <c r="H23" s="586" t="s">
        <v>417</v>
      </c>
      <c r="I23" s="586"/>
    </row>
    <row r="24" spans="2:9" hidden="1" x14ac:dyDescent="0.25">
      <c r="B24" s="704"/>
      <c r="D24" s="586">
        <v>1952.97</v>
      </c>
      <c r="E24" s="586" t="s">
        <v>17</v>
      </c>
      <c r="F24" s="586" t="s">
        <v>54</v>
      </c>
      <c r="G24" s="586" t="s">
        <v>17</v>
      </c>
      <c r="H24" s="586"/>
      <c r="I24" s="586" t="s">
        <v>17</v>
      </c>
    </row>
    <row r="25" spans="2:9" hidden="1" x14ac:dyDescent="0.25">
      <c r="B25" s="704"/>
      <c r="D25" s="586">
        <v>-521.27</v>
      </c>
      <c r="E25" s="586" t="s">
        <v>17</v>
      </c>
      <c r="F25" s="586" t="s">
        <v>106</v>
      </c>
      <c r="G25" s="586" t="s">
        <v>17</v>
      </c>
      <c r="H25" s="586"/>
      <c r="I25" s="586" t="s">
        <v>17</v>
      </c>
    </row>
    <row r="26" spans="2:9" hidden="1" x14ac:dyDescent="0.25">
      <c r="B26" s="704"/>
      <c r="D26" s="586">
        <v>-800</v>
      </c>
      <c r="E26" s="586" t="s">
        <v>17</v>
      </c>
      <c r="F26" s="586" t="s">
        <v>109</v>
      </c>
      <c r="G26" s="586" t="s">
        <v>17</v>
      </c>
      <c r="H26" s="586"/>
      <c r="I26" s="586" t="s">
        <v>17</v>
      </c>
    </row>
    <row r="27" spans="2:9" hidden="1" x14ac:dyDescent="0.25">
      <c r="B27" s="704"/>
      <c r="D27" s="586">
        <v>-631.70000000000005</v>
      </c>
      <c r="E27" s="586" t="s">
        <v>17</v>
      </c>
      <c r="F27" s="586" t="s">
        <v>138</v>
      </c>
      <c r="G27" s="586" t="s">
        <v>17</v>
      </c>
      <c r="H27" s="586"/>
      <c r="I27" s="586" t="s">
        <v>17</v>
      </c>
    </row>
    <row r="28" spans="2:9" hidden="1" x14ac:dyDescent="0.25">
      <c r="B28" s="704"/>
      <c r="D28" s="586">
        <v>-55</v>
      </c>
      <c r="E28" s="586" t="s">
        <v>34</v>
      </c>
      <c r="F28" s="586" t="s">
        <v>140</v>
      </c>
      <c r="G28" s="586" t="s">
        <v>335</v>
      </c>
      <c r="H28" s="586" t="s">
        <v>172</v>
      </c>
      <c r="I28" s="586" t="s">
        <v>335</v>
      </c>
    </row>
    <row r="29" spans="2:9" hidden="1" x14ac:dyDescent="0.25">
      <c r="B29" s="704"/>
      <c r="D29" s="586">
        <v>-500</v>
      </c>
      <c r="E29" s="586" t="s">
        <v>34</v>
      </c>
      <c r="F29" s="586" t="s">
        <v>107</v>
      </c>
      <c r="G29" s="586" t="s">
        <v>335</v>
      </c>
      <c r="H29" s="586" t="s">
        <v>460</v>
      </c>
      <c r="I29" s="586" t="s">
        <v>335</v>
      </c>
    </row>
    <row r="30" spans="2:9" hidden="1" x14ac:dyDescent="0.25">
      <c r="B30" s="704"/>
      <c r="D30" s="586">
        <v>-120</v>
      </c>
      <c r="E30" s="586" t="s">
        <v>34</v>
      </c>
      <c r="F30" s="586" t="s">
        <v>139</v>
      </c>
      <c r="G30" s="586" t="s">
        <v>335</v>
      </c>
      <c r="H30" s="586" t="s">
        <v>174</v>
      </c>
      <c r="I30" s="586" t="s">
        <v>335</v>
      </c>
    </row>
    <row r="31" spans="2:9" hidden="1" x14ac:dyDescent="0.25">
      <c r="B31" s="704"/>
      <c r="D31" s="586">
        <v>-9400</v>
      </c>
      <c r="E31" s="586" t="s">
        <v>34</v>
      </c>
      <c r="F31" s="586" t="s">
        <v>112</v>
      </c>
      <c r="G31" s="586" t="s">
        <v>336</v>
      </c>
      <c r="H31" s="586" t="s">
        <v>336</v>
      </c>
      <c r="I31" s="586" t="s">
        <v>335</v>
      </c>
    </row>
    <row r="32" spans="2:9" hidden="1" x14ac:dyDescent="0.25">
      <c r="B32" s="704"/>
      <c r="D32" s="586">
        <v>9400</v>
      </c>
      <c r="E32" s="586" t="s">
        <v>34</v>
      </c>
      <c r="F32" s="586" t="s">
        <v>85</v>
      </c>
      <c r="G32" s="586" t="s">
        <v>336</v>
      </c>
      <c r="H32" s="586" t="s">
        <v>336</v>
      </c>
      <c r="I32" s="586" t="s">
        <v>335</v>
      </c>
    </row>
    <row r="33" spans="2:9" hidden="1" x14ac:dyDescent="0.25">
      <c r="B33" s="704"/>
      <c r="D33" s="586">
        <f>-12*360</f>
        <v>-4320</v>
      </c>
      <c r="E33" s="586" t="s">
        <v>34</v>
      </c>
      <c r="F33" s="586" t="s">
        <v>124</v>
      </c>
      <c r="G33" s="586" t="s">
        <v>340</v>
      </c>
      <c r="H33" s="586" t="s">
        <v>461</v>
      </c>
      <c r="I33" s="586" t="s">
        <v>335</v>
      </c>
    </row>
    <row r="34" spans="2:9" hidden="1" x14ac:dyDescent="0.25">
      <c r="B34" s="704"/>
      <c r="D34" s="586">
        <v>-320.39999999999998</v>
      </c>
      <c r="E34" s="586" t="s">
        <v>34</v>
      </c>
      <c r="F34" s="586" t="s">
        <v>130</v>
      </c>
      <c r="G34" s="586" t="s">
        <v>340</v>
      </c>
      <c r="H34" s="586" t="s">
        <v>462</v>
      </c>
      <c r="I34" s="586" t="s">
        <v>335</v>
      </c>
    </row>
    <row r="35" spans="2:9" hidden="1" x14ac:dyDescent="0.25">
      <c r="B35" s="704"/>
      <c r="D35" s="586">
        <f>12*360</f>
        <v>4320</v>
      </c>
      <c r="E35" s="586" t="s">
        <v>34</v>
      </c>
      <c r="F35" s="586" t="s">
        <v>65</v>
      </c>
      <c r="G35" s="586" t="s">
        <v>340</v>
      </c>
      <c r="H35" s="586" t="s">
        <v>166</v>
      </c>
      <c r="I35" s="586" t="s">
        <v>335</v>
      </c>
    </row>
    <row r="36" spans="2:9" x14ac:dyDescent="0.25">
      <c r="B36" s="704"/>
      <c r="D36" s="586">
        <f>-2*202*8</f>
        <v>-3232</v>
      </c>
      <c r="E36" s="586" t="s">
        <v>24</v>
      </c>
      <c r="F36" s="586" t="s">
        <v>106</v>
      </c>
      <c r="G36" s="586" t="s">
        <v>337</v>
      </c>
      <c r="H36" s="586"/>
      <c r="I36" s="586"/>
    </row>
    <row r="37" spans="2:9" x14ac:dyDescent="0.25">
      <c r="B37" s="704"/>
      <c r="D37" s="586">
        <v>-200</v>
      </c>
      <c r="E37" s="586" t="s">
        <v>24</v>
      </c>
      <c r="F37" s="586" t="s">
        <v>120</v>
      </c>
      <c r="G37" s="586" t="s">
        <v>337</v>
      </c>
      <c r="H37" s="586"/>
      <c r="I37" s="586"/>
    </row>
    <row r="38" spans="2:9" x14ac:dyDescent="0.25">
      <c r="B38" s="704"/>
      <c r="D38" s="586">
        <v>-200</v>
      </c>
      <c r="E38" s="586" t="s">
        <v>24</v>
      </c>
      <c r="F38" s="586" t="s">
        <v>109</v>
      </c>
      <c r="G38" s="586" t="s">
        <v>337</v>
      </c>
      <c r="H38" s="586"/>
      <c r="I38" s="586"/>
    </row>
    <row r="39" spans="2:9" x14ac:dyDescent="0.25">
      <c r="B39" s="704"/>
      <c r="D39" s="586">
        <v>-8700</v>
      </c>
      <c r="E39" s="586" t="s">
        <v>24</v>
      </c>
      <c r="F39" s="586" t="s">
        <v>137</v>
      </c>
      <c r="G39" s="586" t="s">
        <v>337</v>
      </c>
      <c r="H39" s="586"/>
      <c r="I39" s="586"/>
    </row>
    <row r="40" spans="2:9" x14ac:dyDescent="0.25">
      <c r="B40" s="704"/>
      <c r="D40" s="586">
        <f>65*160</f>
        <v>10400</v>
      </c>
      <c r="E40" s="586" t="s">
        <v>24</v>
      </c>
      <c r="F40" s="586" t="s">
        <v>53</v>
      </c>
      <c r="G40" s="586" t="s">
        <v>337</v>
      </c>
      <c r="H40" s="586"/>
      <c r="I40" s="586"/>
    </row>
    <row r="41" spans="2:9" hidden="1" x14ac:dyDescent="0.25">
      <c r="B41" s="704"/>
      <c r="D41" s="586">
        <v>-840</v>
      </c>
      <c r="E41" s="586" t="s">
        <v>21</v>
      </c>
      <c r="F41" s="586" t="s">
        <v>106</v>
      </c>
      <c r="G41" s="586" t="s">
        <v>368</v>
      </c>
      <c r="H41" s="586"/>
      <c r="I41" s="586"/>
    </row>
    <row r="42" spans="2:9" hidden="1" x14ac:dyDescent="0.25">
      <c r="B42" s="704"/>
      <c r="D42" s="586">
        <v>-1000</v>
      </c>
      <c r="E42" s="586" t="s">
        <v>21</v>
      </c>
      <c r="F42" s="586" t="s">
        <v>109</v>
      </c>
      <c r="G42" s="586" t="s">
        <v>368</v>
      </c>
      <c r="H42" s="586"/>
      <c r="I42" s="586"/>
    </row>
    <row r="43" spans="2:9" hidden="1" x14ac:dyDescent="0.25">
      <c r="B43" s="704"/>
      <c r="D43" s="586">
        <v>-1000</v>
      </c>
      <c r="E43" s="586" t="s">
        <v>21</v>
      </c>
      <c r="F43" s="586" t="s">
        <v>138</v>
      </c>
      <c r="G43" s="586" t="s">
        <v>368</v>
      </c>
      <c r="H43" s="586"/>
      <c r="I43" s="586"/>
    </row>
    <row r="44" spans="2:9" hidden="1" x14ac:dyDescent="0.25">
      <c r="B44" s="704"/>
      <c r="D44" s="586">
        <v>3000</v>
      </c>
      <c r="E44" s="586" t="s">
        <v>21</v>
      </c>
      <c r="F44" s="586" t="s">
        <v>62</v>
      </c>
      <c r="G44" s="586" t="s">
        <v>368</v>
      </c>
      <c r="H44" s="586" t="s">
        <v>463</v>
      </c>
      <c r="I44" s="586"/>
    </row>
    <row r="45" spans="2:9" hidden="1" x14ac:dyDescent="0.25">
      <c r="B45" s="704"/>
      <c r="D45" s="586">
        <v>-840</v>
      </c>
      <c r="E45" s="586" t="s">
        <v>21</v>
      </c>
      <c r="F45" s="586" t="s">
        <v>106</v>
      </c>
      <c r="G45" s="586" t="s">
        <v>369</v>
      </c>
      <c r="H45" s="586"/>
      <c r="I45" s="586"/>
    </row>
    <row r="46" spans="2:9" hidden="1" x14ac:dyDescent="0.25">
      <c r="B46" s="704"/>
      <c r="D46" s="586">
        <v>-1000</v>
      </c>
      <c r="E46" s="586" t="s">
        <v>21</v>
      </c>
      <c r="F46" s="586" t="s">
        <v>109</v>
      </c>
      <c r="G46" s="586" t="s">
        <v>369</v>
      </c>
      <c r="H46" s="586"/>
      <c r="I46" s="586"/>
    </row>
    <row r="47" spans="2:9" hidden="1" x14ac:dyDescent="0.25">
      <c r="B47" s="704"/>
      <c r="D47" s="586">
        <v>-1000</v>
      </c>
      <c r="E47" s="586" t="s">
        <v>21</v>
      </c>
      <c r="F47" s="586" t="s">
        <v>138</v>
      </c>
      <c r="G47" s="586" t="s">
        <v>369</v>
      </c>
      <c r="H47" s="586"/>
      <c r="I47" s="586"/>
    </row>
    <row r="48" spans="2:9" hidden="1" x14ac:dyDescent="0.25">
      <c r="B48" s="704"/>
      <c r="D48" s="586">
        <v>3000</v>
      </c>
      <c r="E48" s="586" t="s">
        <v>21</v>
      </c>
      <c r="F48" s="586" t="s">
        <v>62</v>
      </c>
      <c r="G48" s="586" t="s">
        <v>369</v>
      </c>
      <c r="H48" s="586" t="s">
        <v>463</v>
      </c>
      <c r="I48" s="586"/>
    </row>
    <row r="49" spans="2:9" hidden="1" x14ac:dyDescent="0.25">
      <c r="B49" s="704"/>
      <c r="D49" s="586">
        <v>3000</v>
      </c>
      <c r="E49" s="586" t="s">
        <v>29</v>
      </c>
      <c r="F49" s="586" t="s">
        <v>53</v>
      </c>
      <c r="G49" s="586" t="s">
        <v>464</v>
      </c>
      <c r="H49" s="586"/>
      <c r="I49" s="586" t="s">
        <v>29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7"/>
  <sheetViews>
    <sheetView workbookViewId="0"/>
  </sheetViews>
  <sheetFormatPr defaultColWidth="8.85546875" defaultRowHeight="12" x14ac:dyDescent="0.2"/>
  <sheetData>
    <row r="1" spans="1:7" ht="12.75" thickBot="1" x14ac:dyDescent="0.25">
      <c r="A1" s="8">
        <v>60</v>
      </c>
      <c r="B1" s="9" t="s">
        <v>115</v>
      </c>
      <c r="F1" s="91">
        <v>70</v>
      </c>
      <c r="G1" s="92" t="s">
        <v>52</v>
      </c>
    </row>
    <row r="2" spans="1:7" x14ac:dyDescent="0.2">
      <c r="A2" s="24">
        <v>6040000</v>
      </c>
      <c r="B2" s="25" t="s">
        <v>116</v>
      </c>
      <c r="F2" s="24">
        <v>7060000</v>
      </c>
      <c r="G2" s="25" t="s">
        <v>53</v>
      </c>
    </row>
    <row r="3" spans="1:7" x14ac:dyDescent="0.2">
      <c r="A3" s="34">
        <v>6040009</v>
      </c>
      <c r="B3" s="912" t="s">
        <v>117</v>
      </c>
      <c r="F3" s="34">
        <v>7060009</v>
      </c>
      <c r="G3" s="912" t="s">
        <v>54</v>
      </c>
    </row>
    <row r="4" spans="1:7" x14ac:dyDescent="0.2">
      <c r="A4" s="34">
        <v>6061000</v>
      </c>
      <c r="B4" s="912" t="s">
        <v>118</v>
      </c>
      <c r="F4" s="34">
        <v>7061000</v>
      </c>
      <c r="G4" s="912" t="s">
        <v>55</v>
      </c>
    </row>
    <row r="5" spans="1:7" x14ac:dyDescent="0.2">
      <c r="A5" s="34">
        <v>6062000</v>
      </c>
      <c r="B5" s="912" t="s">
        <v>106</v>
      </c>
      <c r="F5" s="34">
        <v>7070000</v>
      </c>
      <c r="G5" s="912" t="s">
        <v>56</v>
      </c>
    </row>
    <row r="6" spans="1:7" ht="12.75" x14ac:dyDescent="0.2">
      <c r="A6" s="34">
        <v>6063000</v>
      </c>
      <c r="B6" s="912" t="s">
        <v>107</v>
      </c>
      <c r="F6" s="34">
        <v>7070009</v>
      </c>
      <c r="G6" s="927" t="s">
        <v>57</v>
      </c>
    </row>
    <row r="7" spans="1:7" x14ac:dyDescent="0.2">
      <c r="A7" s="34">
        <v>6064000</v>
      </c>
      <c r="B7" s="912" t="s">
        <v>119</v>
      </c>
      <c r="F7" s="34">
        <v>7083000</v>
      </c>
      <c r="G7" s="912" t="s">
        <v>58</v>
      </c>
    </row>
    <row r="8" spans="1:7" x14ac:dyDescent="0.2">
      <c r="A8" s="34">
        <v>6065000</v>
      </c>
      <c r="B8" s="912" t="s">
        <v>108</v>
      </c>
      <c r="F8" s="34">
        <v>7083009</v>
      </c>
      <c r="G8" s="912" t="s">
        <v>59</v>
      </c>
    </row>
    <row r="9" spans="1:7" x14ac:dyDescent="0.2">
      <c r="A9" s="34">
        <v>6066000</v>
      </c>
      <c r="B9" s="912" t="s">
        <v>110</v>
      </c>
      <c r="F9" s="34">
        <v>7080000</v>
      </c>
      <c r="G9" s="912" t="s">
        <v>60</v>
      </c>
    </row>
    <row r="10" spans="1:7" ht="12.75" thickBot="1" x14ac:dyDescent="0.25">
      <c r="A10" s="34">
        <v>6068000</v>
      </c>
      <c r="B10" s="912" t="s">
        <v>120</v>
      </c>
      <c r="F10" s="34">
        <v>7080009</v>
      </c>
      <c r="G10" s="912" t="s">
        <v>61</v>
      </c>
    </row>
    <row r="11" spans="1:7" ht="12.75" thickBot="1" x14ac:dyDescent="0.25">
      <c r="A11" s="34">
        <v>6070000</v>
      </c>
      <c r="B11" s="912" t="s">
        <v>121</v>
      </c>
      <c r="F11" s="100">
        <v>74</v>
      </c>
      <c r="G11" s="9" t="s">
        <v>35</v>
      </c>
    </row>
    <row r="12" spans="1:7" ht="12.75" thickBot="1" x14ac:dyDescent="0.25">
      <c r="A12" s="989">
        <v>6070009</v>
      </c>
      <c r="B12" s="990" t="s">
        <v>122</v>
      </c>
      <c r="F12" s="951">
        <v>7410000</v>
      </c>
      <c r="G12" s="952" t="s">
        <v>62</v>
      </c>
    </row>
    <row r="13" spans="1:7" ht="12.75" thickBot="1" x14ac:dyDescent="0.25">
      <c r="A13" s="8">
        <v>61</v>
      </c>
      <c r="B13" s="9" t="s">
        <v>123</v>
      </c>
      <c r="F13" s="953">
        <v>7411000</v>
      </c>
      <c r="G13" s="912" t="s">
        <v>63</v>
      </c>
    </row>
    <row r="14" spans="1:7" x14ac:dyDescent="0.2">
      <c r="A14" s="24">
        <v>6132000</v>
      </c>
      <c r="B14" s="25" t="s">
        <v>124</v>
      </c>
      <c r="F14" s="953">
        <v>7412000</v>
      </c>
      <c r="G14" s="912" t="s">
        <v>64</v>
      </c>
    </row>
    <row r="15" spans="1:7" x14ac:dyDescent="0.2">
      <c r="A15" s="34">
        <v>6132009</v>
      </c>
      <c r="B15" s="912" t="s">
        <v>109</v>
      </c>
      <c r="F15" s="953">
        <v>7413000</v>
      </c>
      <c r="G15" s="912" t="s">
        <v>65</v>
      </c>
    </row>
    <row r="16" spans="1:7" x14ac:dyDescent="0.2">
      <c r="A16" s="34">
        <v>6135000</v>
      </c>
      <c r="B16" s="912" t="s">
        <v>126</v>
      </c>
      <c r="F16" s="953">
        <v>7414000</v>
      </c>
      <c r="G16" s="912" t="s">
        <v>66</v>
      </c>
    </row>
    <row r="17" spans="1:7" x14ac:dyDescent="0.2">
      <c r="A17" s="34">
        <v>6135009</v>
      </c>
      <c r="B17" s="912" t="s">
        <v>127</v>
      </c>
      <c r="F17" s="953">
        <v>7414009</v>
      </c>
      <c r="G17" s="912" t="s">
        <v>67</v>
      </c>
    </row>
    <row r="18" spans="1:7" x14ac:dyDescent="0.2">
      <c r="A18" s="34">
        <v>6140000</v>
      </c>
      <c r="B18" s="912" t="s">
        <v>128</v>
      </c>
      <c r="F18" s="953">
        <v>7415000</v>
      </c>
      <c r="G18" s="912" t="s">
        <v>68</v>
      </c>
    </row>
    <row r="19" spans="1:7" x14ac:dyDescent="0.2">
      <c r="A19" s="34">
        <v>6150000</v>
      </c>
      <c r="B19" s="912" t="s">
        <v>129</v>
      </c>
      <c r="F19" s="953">
        <v>7416000</v>
      </c>
      <c r="G19" s="912" t="s">
        <v>69</v>
      </c>
    </row>
    <row r="20" spans="1:7" ht="13.5" thickBot="1" x14ac:dyDescent="0.25">
      <c r="A20" s="34">
        <v>6160000</v>
      </c>
      <c r="B20" s="912" t="s">
        <v>130</v>
      </c>
      <c r="F20" s="953">
        <v>7480000</v>
      </c>
      <c r="G20" s="101" t="s">
        <v>70</v>
      </c>
    </row>
    <row r="21" spans="1:7" ht="12.75" thickBot="1" x14ac:dyDescent="0.25">
      <c r="A21" s="34">
        <v>6180000</v>
      </c>
      <c r="B21" s="912" t="s">
        <v>131</v>
      </c>
      <c r="F21" s="102">
        <v>75</v>
      </c>
      <c r="G21" s="9" t="s">
        <v>71</v>
      </c>
    </row>
    <row r="22" spans="1:7" x14ac:dyDescent="0.2">
      <c r="A22" s="34">
        <v>6180009</v>
      </c>
      <c r="B22" s="912" t="s">
        <v>132</v>
      </c>
      <c r="F22" s="951">
        <v>7540000</v>
      </c>
      <c r="G22" s="952" t="s">
        <v>72</v>
      </c>
    </row>
    <row r="23" spans="1:7" ht="12.75" thickBot="1" x14ac:dyDescent="0.25">
      <c r="A23" s="989">
        <v>6183000</v>
      </c>
      <c r="B23" s="990" t="s">
        <v>133</v>
      </c>
      <c r="F23" s="951">
        <v>7540009</v>
      </c>
      <c r="G23" s="952" t="s">
        <v>73</v>
      </c>
    </row>
    <row r="24" spans="1:7" ht="12.75" thickBot="1" x14ac:dyDescent="0.25">
      <c r="A24" s="8">
        <v>62</v>
      </c>
      <c r="B24" s="9" t="s">
        <v>134</v>
      </c>
      <c r="F24" s="951">
        <v>7560000</v>
      </c>
      <c r="G24" s="952" t="s">
        <v>74</v>
      </c>
    </row>
    <row r="25" spans="1:7" x14ac:dyDescent="0.2">
      <c r="A25" s="24">
        <v>6226000</v>
      </c>
      <c r="B25" s="25" t="s">
        <v>135</v>
      </c>
      <c r="F25" s="953">
        <v>7580000</v>
      </c>
      <c r="G25" s="912" t="s">
        <v>75</v>
      </c>
    </row>
    <row r="26" spans="1:7" x14ac:dyDescent="0.2">
      <c r="A26" s="34">
        <v>6230000</v>
      </c>
      <c r="B26" s="912" t="s">
        <v>111</v>
      </c>
      <c r="F26" s="953">
        <v>7580009</v>
      </c>
      <c r="G26" s="912" t="s">
        <v>76</v>
      </c>
    </row>
    <row r="27" spans="1:7" x14ac:dyDescent="0.2">
      <c r="A27" s="34">
        <v>6230009</v>
      </c>
      <c r="B27" s="912" t="s">
        <v>136</v>
      </c>
      <c r="F27" s="953">
        <v>7580029</v>
      </c>
      <c r="G27" s="912" t="s">
        <v>77</v>
      </c>
    </row>
    <row r="28" spans="1:7" ht="12.75" thickBot="1" x14ac:dyDescent="0.25">
      <c r="A28" s="34">
        <v>6240000</v>
      </c>
      <c r="B28" s="912" t="s">
        <v>137</v>
      </c>
      <c r="F28" s="953">
        <v>7581009</v>
      </c>
      <c r="G28" s="912" t="s">
        <v>78</v>
      </c>
    </row>
    <row r="29" spans="1:7" ht="12.75" thickBot="1" x14ac:dyDescent="0.25">
      <c r="A29" s="34">
        <v>6250000</v>
      </c>
      <c r="B29" s="912" t="s">
        <v>138</v>
      </c>
      <c r="F29" s="100">
        <v>76</v>
      </c>
      <c r="G29" s="9" t="s">
        <v>79</v>
      </c>
    </row>
    <row r="30" spans="1:7" ht="12.75" thickBot="1" x14ac:dyDescent="0.25">
      <c r="A30" s="34">
        <v>6260000</v>
      </c>
      <c r="B30" s="912" t="s">
        <v>139</v>
      </c>
      <c r="F30" s="103">
        <v>7600000</v>
      </c>
      <c r="G30" s="963" t="s">
        <v>79</v>
      </c>
    </row>
    <row r="31" spans="1:7" ht="12.75" thickBot="1" x14ac:dyDescent="0.25">
      <c r="A31" s="34">
        <v>6270000</v>
      </c>
      <c r="B31" s="912" t="s">
        <v>140</v>
      </c>
      <c r="F31" s="100">
        <v>77</v>
      </c>
      <c r="G31" s="9" t="s">
        <v>80</v>
      </c>
    </row>
    <row r="32" spans="1:7" ht="12.75" thickBot="1" x14ac:dyDescent="0.25">
      <c r="A32" s="989">
        <v>6280000</v>
      </c>
      <c r="B32" s="990" t="s">
        <v>141</v>
      </c>
      <c r="F32" s="108">
        <v>7718000</v>
      </c>
      <c r="G32" s="25" t="s">
        <v>80</v>
      </c>
    </row>
    <row r="33" spans="1:7" ht="12.75" thickBot="1" x14ac:dyDescent="0.25">
      <c r="A33" s="8">
        <v>63</v>
      </c>
      <c r="B33" s="9" t="s">
        <v>142</v>
      </c>
      <c r="F33" s="951">
        <v>7720000</v>
      </c>
      <c r="G33" s="952" t="s">
        <v>81</v>
      </c>
    </row>
    <row r="34" spans="1:7" ht="12.75" thickBot="1" x14ac:dyDescent="0.25">
      <c r="A34" s="47">
        <v>6370000</v>
      </c>
      <c r="B34" s="963" t="s">
        <v>143</v>
      </c>
      <c r="F34" s="953">
        <v>7750000</v>
      </c>
      <c r="G34" s="912" t="s">
        <v>82</v>
      </c>
    </row>
    <row r="35" spans="1:7" ht="12.75" thickBot="1" x14ac:dyDescent="0.25">
      <c r="A35" s="8">
        <v>64</v>
      </c>
      <c r="B35" s="9" t="s">
        <v>144</v>
      </c>
      <c r="F35" s="953">
        <v>7770000</v>
      </c>
      <c r="G35" s="912" t="s">
        <v>83</v>
      </c>
    </row>
    <row r="36" spans="1:7" ht="12.75" thickBot="1" x14ac:dyDescent="0.25">
      <c r="A36" s="24">
        <v>6410009</v>
      </c>
      <c r="B36" s="25" t="s">
        <v>112</v>
      </c>
      <c r="F36" s="973">
        <v>7815000</v>
      </c>
      <c r="G36" s="974" t="s">
        <v>84</v>
      </c>
    </row>
    <row r="37" spans="1:7" ht="12.75" thickBot="1" x14ac:dyDescent="0.25">
      <c r="A37" s="60">
        <v>6450009</v>
      </c>
      <c r="B37" s="974" t="s">
        <v>145</v>
      </c>
      <c r="F37" s="8">
        <v>7910000</v>
      </c>
      <c r="G37" s="9" t="s">
        <v>85</v>
      </c>
    </row>
    <row r="38" spans="1:7" ht="12.75" thickBot="1" x14ac:dyDescent="0.25">
      <c r="A38" s="1008">
        <v>6480000</v>
      </c>
      <c r="B38" s="974" t="s">
        <v>146</v>
      </c>
    </row>
    <row r="39" spans="1:7" ht="12.75" thickBot="1" x14ac:dyDescent="0.25">
      <c r="A39" s="8">
        <v>65</v>
      </c>
      <c r="B39" s="9" t="s">
        <v>147</v>
      </c>
    </row>
    <row r="40" spans="1:7" x14ac:dyDescent="0.2">
      <c r="A40" s="24">
        <v>6561009</v>
      </c>
      <c r="B40" s="25" t="s">
        <v>148</v>
      </c>
    </row>
    <row r="41" spans="1:7" x14ac:dyDescent="0.2">
      <c r="A41" s="34">
        <v>6566009</v>
      </c>
      <c r="B41" s="912" t="s">
        <v>149</v>
      </c>
    </row>
    <row r="42" spans="1:7" x14ac:dyDescent="0.2">
      <c r="A42" s="34">
        <v>6570009</v>
      </c>
      <c r="B42" s="912" t="s">
        <v>150</v>
      </c>
    </row>
    <row r="43" spans="1:7" x14ac:dyDescent="0.2">
      <c r="A43" s="34">
        <v>6572009</v>
      </c>
      <c r="B43" s="912" t="s">
        <v>151</v>
      </c>
    </row>
    <row r="44" spans="1:7" x14ac:dyDescent="0.2">
      <c r="A44" s="34">
        <v>6580000</v>
      </c>
      <c r="B44" s="912" t="s">
        <v>152</v>
      </c>
    </row>
    <row r="45" spans="1:7" x14ac:dyDescent="0.2">
      <c r="A45" s="60">
        <v>6580009</v>
      </c>
      <c r="B45" s="912" t="s">
        <v>153</v>
      </c>
    </row>
    <row r="46" spans="1:7" x14ac:dyDescent="0.2">
      <c r="A46" s="953">
        <v>6580029</v>
      </c>
      <c r="B46" s="912" t="s">
        <v>77</v>
      </c>
    </row>
    <row r="47" spans="1:7" ht="12.75" thickBot="1" x14ac:dyDescent="0.25">
      <c r="A47" s="989">
        <v>6581009</v>
      </c>
      <c r="B47" s="61" t="s">
        <v>78</v>
      </c>
    </row>
    <row r="48" spans="1:7" ht="12.75" thickBot="1" x14ac:dyDescent="0.25">
      <c r="A48" s="8">
        <v>66</v>
      </c>
      <c r="B48" s="9" t="s">
        <v>154</v>
      </c>
    </row>
    <row r="49" spans="1:2" ht="12.75" thickBot="1" x14ac:dyDescent="0.25">
      <c r="A49" s="47">
        <v>6600000</v>
      </c>
      <c r="B49" s="963" t="s">
        <v>154</v>
      </c>
    </row>
    <row r="50" spans="1:2" ht="12.75" thickBot="1" x14ac:dyDescent="0.25">
      <c r="A50" s="8">
        <v>67</v>
      </c>
      <c r="B50" s="9" t="s">
        <v>155</v>
      </c>
    </row>
    <row r="51" spans="1:2" x14ac:dyDescent="0.2">
      <c r="A51" s="24">
        <v>6712000</v>
      </c>
      <c r="B51" s="25" t="s">
        <v>156</v>
      </c>
    </row>
    <row r="52" spans="1:2" x14ac:dyDescent="0.2">
      <c r="A52" s="47">
        <v>6718000</v>
      </c>
      <c r="B52" s="963" t="s">
        <v>157</v>
      </c>
    </row>
    <row r="53" spans="1:2" ht="12.75" thickBot="1" x14ac:dyDescent="0.25">
      <c r="A53" s="989">
        <v>6750000</v>
      </c>
      <c r="B53" s="990" t="s">
        <v>158</v>
      </c>
    </row>
    <row r="54" spans="1:2" ht="12.75" thickBot="1" x14ac:dyDescent="0.25">
      <c r="A54" s="8">
        <v>68</v>
      </c>
      <c r="B54" s="9" t="s">
        <v>159</v>
      </c>
    </row>
    <row r="55" spans="1:2" x14ac:dyDescent="0.2">
      <c r="A55" s="24">
        <v>6810000</v>
      </c>
      <c r="B55" s="25" t="s">
        <v>160</v>
      </c>
    </row>
    <row r="56" spans="1:2" ht="12.75" thickBot="1" x14ac:dyDescent="0.25">
      <c r="A56" s="989">
        <v>6815000</v>
      </c>
      <c r="B56" s="990" t="s">
        <v>161</v>
      </c>
    </row>
    <row r="57" spans="1:2" ht="12.75" thickBot="1" x14ac:dyDescent="0.25">
      <c r="A57" s="8"/>
      <c r="B57" s="9" t="s">
        <v>162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K57"/>
  <sheetViews>
    <sheetView workbookViewId="0">
      <selection sqref="A1:K1"/>
    </sheetView>
  </sheetViews>
  <sheetFormatPr defaultColWidth="8.85546875" defaultRowHeight="12" x14ac:dyDescent="0.2"/>
  <cols>
    <col min="1" max="1" width="28" customWidth="1"/>
    <col min="2" max="2" width="11.140625" bestFit="1" customWidth="1"/>
    <col min="3" max="3" width="8.85546875" bestFit="1" customWidth="1"/>
    <col min="4" max="4" width="12.28515625" bestFit="1" customWidth="1"/>
    <col min="5" max="5" width="15.28515625" style="714" customWidth="1"/>
    <col min="6" max="6" width="22.42578125" customWidth="1"/>
    <col min="7" max="7" width="11.42578125" customWidth="1"/>
    <col min="8" max="8" width="8.85546875" bestFit="1" customWidth="1"/>
    <col min="9" max="9" width="12.85546875" customWidth="1"/>
    <col min="10" max="10" width="30.28515625" bestFit="1" customWidth="1"/>
    <col min="11" max="11" width="8.85546875" bestFit="1" customWidth="1"/>
  </cols>
  <sheetData>
    <row r="1" spans="1:11" ht="25.5" x14ac:dyDescent="0.35">
      <c r="A1" s="1353" t="str">
        <f>D4</f>
        <v>Véhicule Golbey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1" ht="12.75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1" x14ac:dyDescent="0.2">
      <c r="A3" s="1356" t="s">
        <v>465</v>
      </c>
      <c r="B3" s="1356"/>
      <c r="C3" s="1356"/>
      <c r="D3" s="1356">
        <f>VLOOKUP($D$4,'Listes détails'!A:M,2,0)</f>
        <v>0</v>
      </c>
      <c r="E3" s="1356"/>
      <c r="F3" s="1356"/>
      <c r="G3" s="1356" t="s">
        <v>466</v>
      </c>
      <c r="H3" s="1356"/>
      <c r="I3" s="1356"/>
      <c r="J3" s="1357">
        <f>VLOOKUP($D$4,'Listes détails'!A:M,3,0)</f>
        <v>0</v>
      </c>
      <c r="K3" s="1356"/>
    </row>
    <row r="4" spans="1:11" x14ac:dyDescent="0.2">
      <c r="A4" s="1358" t="s">
        <v>467</v>
      </c>
      <c r="B4" s="1358"/>
      <c r="C4" s="1358"/>
      <c r="D4" s="1359" t="s">
        <v>378</v>
      </c>
      <c r="E4" s="1359"/>
      <c r="F4" s="1359"/>
      <c r="G4" s="1358" t="s">
        <v>468</v>
      </c>
      <c r="H4" s="1358"/>
      <c r="I4" s="1358"/>
      <c r="J4" s="1360">
        <f>VLOOKUP($D$4,'Listes détails'!A:M,4,0)</f>
        <v>0</v>
      </c>
      <c r="K4" s="1358"/>
    </row>
    <row r="5" spans="1:11" x14ac:dyDescent="0.2">
      <c r="A5" t="s">
        <v>469</v>
      </c>
      <c r="B5" t="s">
        <v>309</v>
      </c>
      <c r="C5">
        <f>VLOOKUP($D$4,'Listes détails'!A:M,7,0)</f>
        <v>0</v>
      </c>
      <c r="D5" t="s">
        <v>207</v>
      </c>
      <c r="E5" s="714">
        <f>VLOOKUP($D$4,'Listes détails'!A:M,8,0)</f>
        <v>0</v>
      </c>
    </row>
    <row r="6" spans="1:11" ht="12.75" thickBot="1" x14ac:dyDescent="0.25">
      <c r="A6" s="709"/>
      <c r="B6" s="709"/>
      <c r="C6" s="709"/>
      <c r="D6" s="709"/>
      <c r="E6" s="715"/>
      <c r="F6" s="709"/>
      <c r="G6" s="709"/>
      <c r="H6" s="709"/>
      <c r="I6" s="709"/>
      <c r="J6" s="709"/>
      <c r="K6" s="709"/>
    </row>
    <row r="7" spans="1:11" x14ac:dyDescent="0.2">
      <c r="A7" s="774" t="s">
        <v>470</v>
      </c>
      <c r="B7" s="775"/>
      <c r="C7" s="775"/>
      <c r="D7" s="775"/>
      <c r="E7" s="788"/>
      <c r="F7" s="774" t="s">
        <v>471</v>
      </c>
      <c r="G7" s="775"/>
      <c r="H7" s="775"/>
      <c r="I7" s="775"/>
      <c r="J7" s="776"/>
    </row>
    <row r="8" spans="1:11" x14ac:dyDescent="0.2">
      <c r="A8" s="777"/>
      <c r="E8" s="780"/>
      <c r="F8" s="777"/>
      <c r="J8" s="778"/>
    </row>
    <row r="9" spans="1:11" x14ac:dyDescent="0.2">
      <c r="A9" s="779" t="s">
        <v>472</v>
      </c>
      <c r="B9" t="s">
        <v>473</v>
      </c>
      <c r="C9" t="s">
        <v>474</v>
      </c>
      <c r="D9" t="s">
        <v>211</v>
      </c>
      <c r="E9" s="780" t="s">
        <v>354</v>
      </c>
      <c r="F9" s="779" t="str">
        <f>A9</f>
        <v>Produits :</v>
      </c>
      <c r="G9" t="s">
        <v>473</v>
      </c>
      <c r="H9" t="s">
        <v>474</v>
      </c>
      <c r="I9" t="s">
        <v>211</v>
      </c>
      <c r="J9" s="780"/>
    </row>
    <row r="10" spans="1:11" x14ac:dyDescent="0.2">
      <c r="A10" s="781" t="s">
        <v>475</v>
      </c>
      <c r="B10" s="782"/>
      <c r="D10" s="782"/>
      <c r="E10" s="780"/>
      <c r="F10" s="781" t="str">
        <f>A10</f>
        <v>Participation :</v>
      </c>
      <c r="G10" s="782" t="e">
        <f>I10/H10</f>
        <v>#DIV/0!</v>
      </c>
      <c r="H10">
        <f>$E$5</f>
        <v>0</v>
      </c>
      <c r="I10" s="782">
        <f>IF(SUMIFS('Liste prévisionnel'!E:E,'Liste prévisionnel'!I:I,$D$4,'Liste prévisionnel'!K:K,"NON",'Liste prévisionnel'!L:L,J10)&lt;0,-SUMIFS('Liste prévisionnel'!E:E,'Liste prévisionnel'!I:I,$D$4,'Liste prévisionnel'!K:K,"NON",'Liste prévisionnel'!L:L,J10),SUMIFS('Liste prévisionnel'!E:E,'Liste prévisionnel'!I:I,$D$4,'Liste prévisionnel'!K:K,"NON",'Liste prévisionnel'!L:L,J10))</f>
        <v>0</v>
      </c>
      <c r="J10" s="780">
        <f>E10</f>
        <v>0</v>
      </c>
    </row>
    <row r="11" spans="1:11" x14ac:dyDescent="0.2">
      <c r="A11" s="777" t="s">
        <v>476</v>
      </c>
      <c r="B11" s="782" t="e">
        <f>D11/C11</f>
        <v>#DIV/0!</v>
      </c>
      <c r="C11">
        <f>$C$5</f>
        <v>0</v>
      </c>
      <c r="D11" s="782">
        <f>SUMIFS('Liste Prévisionnels'!D:D,'Liste Prévisionnels'!F:F,$E11,'Liste Prévisionnels'!G:G,$D$4)</f>
        <v>0</v>
      </c>
      <c r="E11" s="780" t="s">
        <v>54</v>
      </c>
      <c r="F11" s="777" t="str">
        <f t="shared" ref="F11:F22" si="0">A11</f>
        <v>Facturation interne</v>
      </c>
      <c r="G11" s="782" t="e">
        <f>I11/H11</f>
        <v>#DIV/0!</v>
      </c>
      <c r="H11">
        <f>$E$5</f>
        <v>0</v>
      </c>
      <c r="I11" s="782">
        <f>IF(SUMIFS('Liste prévisionnel'!E:E,'Liste prévisionnel'!I:I,$D$4,'Liste prévisionnel'!K:K,"NON",'Liste prévisionnel'!L:L,J11)&lt;0,-SUMIFS('Liste prévisionnel'!E:E,'Liste prévisionnel'!I:I,$D$4,'Liste prévisionnel'!K:K,"NON",'Liste prévisionnel'!L:L,J11),SUMIFS('Liste prévisionnel'!E:E,'Liste prévisionnel'!I:I,$D$4,'Liste prévisionnel'!K:K,"NON",'Liste prévisionnel'!L:L,J11))</f>
        <v>0</v>
      </c>
      <c r="J11" s="780" t="str">
        <f t="shared" ref="J11:J22" si="1">E11</f>
        <v>Participation aux camps, activités EEDF</v>
      </c>
      <c r="K11" t="s">
        <v>125</v>
      </c>
    </row>
    <row r="12" spans="1:11" x14ac:dyDescent="0.2">
      <c r="A12" s="777" t="s">
        <v>477</v>
      </c>
      <c r="B12" s="782" t="e">
        <f>D12/C12</f>
        <v>#DIV/0!</v>
      </c>
      <c r="C12">
        <f>$C$5</f>
        <v>0</v>
      </c>
      <c r="D12" s="782">
        <f>SUMIFS('Liste Prévisionnels'!D:D,'Liste Prévisionnels'!F:F,$E12,'Liste Prévisionnels'!G:G,$D$4)</f>
        <v>0</v>
      </c>
      <c r="E12" s="780" t="s">
        <v>53</v>
      </c>
      <c r="F12" s="777" t="str">
        <f t="shared" si="0"/>
        <v>Facturation externe / familles</v>
      </c>
      <c r="G12" s="782" t="e">
        <f t="shared" ref="G12:G22" si="2">I12/H12</f>
        <v>#DIV/0!</v>
      </c>
      <c r="H12">
        <f t="shared" ref="H12:H22" si="3">$E$5</f>
        <v>0</v>
      </c>
      <c r="I12" s="782">
        <f>IF(SUMIFS('Liste prévisionnel'!E:E,'Liste prévisionnel'!I:I,$D$4,'Liste prévisionnel'!K:K,"NON",'Liste prévisionnel'!L:L,J12)&lt;0,-SUMIFS('Liste prévisionnel'!E:E,'Liste prévisionnel'!I:I,$D$4,'Liste prévisionnel'!K:K,"NON",'Liste prévisionnel'!L:L,J12),SUMIFS('Liste prévisionnel'!E:E,'Liste prévisionnel'!I:I,$D$4,'Liste prévisionnel'!K:K,"NON",'Liste prévisionnel'!L:L,J12))</f>
        <v>0</v>
      </c>
      <c r="J12" s="780" t="str">
        <f t="shared" si="1"/>
        <v>Participation aux camps, activités</v>
      </c>
      <c r="K12" s="797">
        <f>IF(D12=0,0,I12/D12)</f>
        <v>0</v>
      </c>
    </row>
    <row r="13" spans="1:11" x14ac:dyDescent="0.2">
      <c r="A13" s="777" t="s">
        <v>478</v>
      </c>
      <c r="B13" s="782" t="e">
        <f t="shared" ref="B13:B15" si="4">D13/C13</f>
        <v>#DIV/0!</v>
      </c>
      <c r="C13">
        <f t="shared" ref="C13:C22" si="5">$C$5</f>
        <v>0</v>
      </c>
      <c r="D13" s="782">
        <f>SUMIFS('Liste Prévisionnels'!D:D,'Liste Prévisionnels'!F:F,$E13,'Liste Prévisionnels'!G:G,$D$4)</f>
        <v>0</v>
      </c>
      <c r="E13" s="780" t="s">
        <v>74</v>
      </c>
      <c r="F13" s="777" t="str">
        <f t="shared" si="0"/>
        <v>Cotisation</v>
      </c>
      <c r="G13" s="782" t="e">
        <f t="shared" si="2"/>
        <v>#DIV/0!</v>
      </c>
      <c r="H13">
        <f t="shared" si="3"/>
        <v>0</v>
      </c>
      <c r="I13" s="782">
        <f>IF(SUMIFS('Liste prévisionnel'!E:E,'Liste prévisionnel'!I:I,$D$4,'Liste prévisionnel'!K:K,"NON",'Liste prévisionnel'!L:L,J13)&lt;0,-SUMIFS('Liste prévisionnel'!E:E,'Liste prévisionnel'!I:I,$D$4,'Liste prévisionnel'!K:K,"NON",'Liste prévisionnel'!L:L,J13),SUMIFS('Liste prévisionnel'!E:E,'Liste prévisionnel'!I:I,$D$4,'Liste prévisionnel'!K:K,"NON",'Liste prévisionnel'!L:L,J13))</f>
        <v>0</v>
      </c>
      <c r="J13" s="780" t="str">
        <f t="shared" si="1"/>
        <v>Cotisations des adhérents</v>
      </c>
    </row>
    <row r="14" spans="1:11" x14ac:dyDescent="0.2">
      <c r="A14" s="777" t="s">
        <v>479</v>
      </c>
      <c r="B14" s="782" t="e">
        <f t="shared" ref="B14" si="6">D14/C14</f>
        <v>#DIV/0!</v>
      </c>
      <c r="C14">
        <f t="shared" si="5"/>
        <v>0</v>
      </c>
      <c r="D14" s="782">
        <f>SUMIFS('Liste Prévisionnels'!D:D,'Liste Prévisionnels'!F:F,$E14,'Liste Prévisionnels'!G:G,$D$4)</f>
        <v>0</v>
      </c>
      <c r="E14" s="780" t="s">
        <v>61</v>
      </c>
      <c r="F14" s="777" t="str">
        <f t="shared" ref="F14" si="7">A14</f>
        <v>Autres produits EEDF</v>
      </c>
      <c r="G14" s="782" t="e">
        <f t="shared" ref="G14" si="8">I14/H14</f>
        <v>#DIV/0!</v>
      </c>
      <c r="H14">
        <f t="shared" si="3"/>
        <v>0</v>
      </c>
      <c r="I14" s="782">
        <f>IF(SUMIFS('Liste prévisionnel'!E:E,'Liste prévisionnel'!I:I,$D$4,'Liste prévisionnel'!K:K,"NON",'Liste prévisionnel'!L:L,J14)&lt;0,-SUMIFS('Liste prévisionnel'!E:E,'Liste prévisionnel'!I:I,$D$4,'Liste prévisionnel'!K:K,"NON",'Liste prévisionnel'!L:L,J14),SUMIFS('Liste prévisionnel'!E:E,'Liste prévisionnel'!I:I,$D$4,'Liste prévisionnel'!K:K,"NON",'Liste prévisionnel'!L:L,J14))</f>
        <v>0</v>
      </c>
      <c r="J14" s="780" t="str">
        <f t="shared" si="1"/>
        <v>Produits activités annexes EEDF</v>
      </c>
    </row>
    <row r="15" spans="1:11" x14ac:dyDescent="0.2">
      <c r="A15" s="777" t="s">
        <v>480</v>
      </c>
      <c r="B15" s="782" t="e">
        <f t="shared" si="4"/>
        <v>#DIV/0!</v>
      </c>
      <c r="C15">
        <f t="shared" si="5"/>
        <v>0</v>
      </c>
      <c r="D15" s="782">
        <f>SUMIFS('Liste Prévisionnels'!D:D,'Liste Prévisionnels'!F:F,$E15,'Liste Prévisionnels'!G:G,$D$4)</f>
        <v>0</v>
      </c>
      <c r="E15" s="780" t="s">
        <v>60</v>
      </c>
      <c r="F15" s="777" t="str">
        <f t="shared" si="0"/>
        <v>Autres produits</v>
      </c>
      <c r="G15" s="782" t="e">
        <f t="shared" si="2"/>
        <v>#DIV/0!</v>
      </c>
      <c r="H15">
        <f t="shared" si="3"/>
        <v>0</v>
      </c>
      <c r="I15" s="782">
        <f>IF(SUMIFS('Liste prévisionnel'!E:E,'Liste prévisionnel'!I:I,$D$4,'Liste prévisionnel'!K:K,"NON",'Liste prévisionnel'!L:L,J15)&lt;0,-SUMIFS('Liste prévisionnel'!E:E,'Liste prévisionnel'!I:I,$D$4,'Liste prévisionnel'!K:K,"NON",'Liste prévisionnel'!L:L,J15),SUMIFS('Liste prévisionnel'!E:E,'Liste prévisionnel'!I:I,$D$4,'Liste prévisionnel'!K:K,"NON",'Liste prévisionnel'!L:L,J15))</f>
        <v>0</v>
      </c>
      <c r="J15" s="780" t="str">
        <f t="shared" si="1"/>
        <v>Produits activités annexes</v>
      </c>
    </row>
    <row r="16" spans="1:11" x14ac:dyDescent="0.2">
      <c r="A16" s="777"/>
      <c r="B16" s="782"/>
      <c r="D16" s="782"/>
      <c r="E16" s="780"/>
      <c r="F16" s="777">
        <f t="shared" si="0"/>
        <v>0</v>
      </c>
      <c r="G16" s="782" t="e">
        <f t="shared" si="2"/>
        <v>#DIV/0!</v>
      </c>
      <c r="H16">
        <f t="shared" si="3"/>
        <v>0</v>
      </c>
      <c r="I16" s="782">
        <f>IF(SUMIFS('Liste prévisionnel'!E:E,'Liste prévisionnel'!I:I,$D$4,'Liste prévisionnel'!K:K,"NON",'Liste prévisionnel'!L:L,J16)&lt;0,-SUMIFS('Liste prévisionnel'!E:E,'Liste prévisionnel'!I:I,$D$4,'Liste prévisionnel'!K:K,"NON",'Liste prévisionnel'!L:L,J16),SUMIFS('Liste prévisionnel'!E:E,'Liste prévisionnel'!I:I,$D$4,'Liste prévisionnel'!K:K,"NON",'Liste prévisionnel'!L:L,J16))</f>
        <v>0</v>
      </c>
      <c r="J16" s="780">
        <f t="shared" si="1"/>
        <v>0</v>
      </c>
    </row>
    <row r="17" spans="1:11" x14ac:dyDescent="0.2">
      <c r="A17" s="781" t="s">
        <v>392</v>
      </c>
      <c r="B17" s="782"/>
      <c r="D17" s="782"/>
      <c r="E17" s="780"/>
      <c r="F17" s="781" t="str">
        <f t="shared" si="0"/>
        <v>Subvention</v>
      </c>
      <c r="G17" s="782" t="e">
        <f t="shared" si="2"/>
        <v>#DIV/0!</v>
      </c>
      <c r="H17">
        <f t="shared" si="3"/>
        <v>0</v>
      </c>
      <c r="I17" s="782">
        <f>IF(SUMIFS('Liste prévisionnel'!E:E,'Liste prévisionnel'!I:I,$D$4,'Liste prévisionnel'!K:K,"NON",'Liste prévisionnel'!L:L,J17)&lt;0,-SUMIFS('Liste prévisionnel'!E:E,'Liste prévisionnel'!I:I,$D$4,'Liste prévisionnel'!K:K,"NON",'Liste prévisionnel'!L:L,J17),SUMIFS('Liste prévisionnel'!E:E,'Liste prévisionnel'!I:I,$D$4,'Liste prévisionnel'!K:K,"NON",'Liste prévisionnel'!L:L,J17))</f>
        <v>0</v>
      </c>
      <c r="J17" s="780">
        <f t="shared" si="1"/>
        <v>0</v>
      </c>
    </row>
    <row r="18" spans="1:11" x14ac:dyDescent="0.2">
      <c r="A18" s="777" t="s">
        <v>481</v>
      </c>
      <c r="B18" s="782" t="e">
        <f t="shared" ref="B18" si="9">D18/C18</f>
        <v>#DIV/0!</v>
      </c>
      <c r="C18">
        <f t="shared" si="5"/>
        <v>0</v>
      </c>
      <c r="D18" s="782">
        <f>SUMIFS('Liste Prévisionnels'!D:D,'Liste Prévisionnels'!F:F,$E18,'Liste Prévisionnels'!G:G,$D$4)</f>
        <v>0</v>
      </c>
      <c r="E18" s="780" t="s">
        <v>65</v>
      </c>
      <c r="F18" s="777" t="str">
        <f t="shared" si="0"/>
        <v>Communales</v>
      </c>
      <c r="G18" s="782" t="e">
        <f t="shared" si="2"/>
        <v>#DIV/0!</v>
      </c>
      <c r="H18">
        <f t="shared" si="3"/>
        <v>0</v>
      </c>
      <c r="I18" s="782">
        <f>IF(SUMIFS('Liste prévisionnel'!E:E,'Liste prévisionnel'!I:I,$D$4,'Liste prévisionnel'!K:K,"NON",'Liste prévisionnel'!L:L,J18)&lt;0,-SUMIFS('Liste prévisionnel'!E:E,'Liste prévisionnel'!I:I,$D$4,'Liste prévisionnel'!K:K,"NON",'Liste prévisionnel'!L:L,J18),SUMIFS('Liste prévisionnel'!E:E,'Liste prévisionnel'!I:I,$D$4,'Liste prévisionnel'!K:K,"NON",'Liste prévisionnel'!L:L,J18))</f>
        <v>0</v>
      </c>
      <c r="J18" s="780" t="str">
        <f t="shared" si="1"/>
        <v>Subventions communales</v>
      </c>
    </row>
    <row r="19" spans="1:11" x14ac:dyDescent="0.2">
      <c r="A19" s="777" t="s">
        <v>482</v>
      </c>
      <c r="B19" s="782" t="e">
        <f t="shared" ref="B19" si="10">D19/C19</f>
        <v>#DIV/0!</v>
      </c>
      <c r="C19">
        <f t="shared" si="5"/>
        <v>0</v>
      </c>
      <c r="D19" s="782">
        <f>SUMIFS('Liste Prévisionnels'!D:D,'Liste Prévisionnels'!F:F,$E19,'Liste Prévisionnels'!G:G,$D$4)</f>
        <v>0</v>
      </c>
      <c r="E19" s="780" t="s">
        <v>62</v>
      </c>
      <c r="F19" s="777" t="str">
        <f t="shared" si="0"/>
        <v>Nationales</v>
      </c>
      <c r="G19" s="782" t="e">
        <f t="shared" si="2"/>
        <v>#DIV/0!</v>
      </c>
      <c r="H19">
        <f t="shared" si="3"/>
        <v>0</v>
      </c>
      <c r="I19" s="782">
        <f>IF(SUMIFS('Liste prévisionnel'!E:E,'Liste prévisionnel'!I:I,$D$4,'Liste prévisionnel'!K:K,"NON",'Liste prévisionnel'!L:L,J19)&lt;0,-SUMIFS('Liste prévisionnel'!E:E,'Liste prévisionnel'!I:I,$D$4,'Liste prévisionnel'!K:K,"NON",'Liste prévisionnel'!L:L,J19),SUMIFS('Liste prévisionnel'!E:E,'Liste prévisionnel'!I:I,$D$4,'Liste prévisionnel'!K:K,"NON",'Liste prévisionnel'!L:L,J19))</f>
        <v>0</v>
      </c>
      <c r="J19" s="780" t="str">
        <f t="shared" si="1"/>
        <v>Subventions Nationales</v>
      </c>
    </row>
    <row r="20" spans="1:11" x14ac:dyDescent="0.2">
      <c r="A20" s="777"/>
      <c r="B20" s="782"/>
      <c r="D20" s="782"/>
      <c r="E20" s="780"/>
      <c r="F20" s="777">
        <f t="shared" si="0"/>
        <v>0</v>
      </c>
      <c r="G20" s="782" t="e">
        <f t="shared" si="2"/>
        <v>#DIV/0!</v>
      </c>
      <c r="H20">
        <f t="shared" si="3"/>
        <v>0</v>
      </c>
      <c r="I20" s="782">
        <f>IF(SUMIFS('Liste prévisionnel'!E:E,'Liste prévisionnel'!I:I,$D$4,'Liste prévisionnel'!K:K,"NON",'Liste prévisionnel'!L:L,J20)&lt;0,-SUMIFS('Liste prévisionnel'!E:E,'Liste prévisionnel'!I:I,$D$4,'Liste prévisionnel'!K:K,"NON",'Liste prévisionnel'!L:L,J20),SUMIFS('Liste prévisionnel'!E:E,'Liste prévisionnel'!I:I,$D$4,'Liste prévisionnel'!K:K,"NON",'Liste prévisionnel'!L:L,J20))</f>
        <v>0</v>
      </c>
      <c r="J20" s="780">
        <f t="shared" si="1"/>
        <v>0</v>
      </c>
    </row>
    <row r="21" spans="1:11" x14ac:dyDescent="0.2">
      <c r="A21" s="781" t="s">
        <v>483</v>
      </c>
      <c r="B21" s="782"/>
      <c r="D21" s="782"/>
      <c r="E21" s="780"/>
      <c r="F21" s="781" t="str">
        <f t="shared" si="0"/>
        <v>Autres</v>
      </c>
      <c r="G21" s="782" t="e">
        <f t="shared" si="2"/>
        <v>#DIV/0!</v>
      </c>
      <c r="H21">
        <f t="shared" si="3"/>
        <v>0</v>
      </c>
      <c r="I21" s="782">
        <f>IF(SUMIFS('Liste prévisionnel'!E:E,'Liste prévisionnel'!I:I,$D$4,'Liste prévisionnel'!K:K,"NON",'Liste prévisionnel'!L:L,J21)&lt;0,-SUMIFS('Liste prévisionnel'!E:E,'Liste prévisionnel'!I:I,$D$4,'Liste prévisionnel'!K:K,"NON",'Liste prévisionnel'!L:L,J21),SUMIFS('Liste prévisionnel'!E:E,'Liste prévisionnel'!I:I,$D$4,'Liste prévisionnel'!K:K,"NON",'Liste prévisionnel'!L:L,J21))</f>
        <v>0</v>
      </c>
      <c r="J21" s="780">
        <f t="shared" si="1"/>
        <v>0</v>
      </c>
    </row>
    <row r="22" spans="1:11" x14ac:dyDescent="0.2">
      <c r="A22" s="777" t="s">
        <v>484</v>
      </c>
      <c r="B22" s="782" t="e">
        <f t="shared" ref="B22" si="11">D22/C22</f>
        <v>#DIV/0!</v>
      </c>
      <c r="C22">
        <f t="shared" si="5"/>
        <v>0</v>
      </c>
      <c r="D22" s="782">
        <f>SUMIFS('Liste Prévisionnels'!D:D,'Liste Prévisionnels'!F:F,$E22,'Liste Prévisionnels'!G:G,$D$4)</f>
        <v>0</v>
      </c>
      <c r="E22" s="780" t="s">
        <v>85</v>
      </c>
      <c r="F22" s="777" t="str">
        <f t="shared" si="0"/>
        <v>Transferts de charges</v>
      </c>
      <c r="G22" s="782" t="e">
        <f t="shared" si="2"/>
        <v>#DIV/0!</v>
      </c>
      <c r="H22">
        <f t="shared" si="3"/>
        <v>0</v>
      </c>
      <c r="I22" s="782">
        <f>IF(SUMIFS('Liste prévisionnel'!E:E,'Liste prévisionnel'!I:I,$D$4,'Liste prévisionnel'!K:K,"NON",'Liste prévisionnel'!L:L,J22)&lt;0,-SUMIFS('Liste prévisionnel'!E:E,'Liste prévisionnel'!I:I,$D$4,'Liste prévisionnel'!K:K,"NON",'Liste prévisionnel'!L:L,J22),SUMIFS('Liste prévisionnel'!E:E,'Liste prévisionnel'!I:I,$D$4,'Liste prévisionnel'!K:K,"NON",'Liste prévisionnel'!L:L,J22))</f>
        <v>0</v>
      </c>
      <c r="J22" s="780" t="str">
        <f t="shared" si="1"/>
        <v>Transfert de charges d'exploitation</v>
      </c>
    </row>
    <row r="23" spans="1:11" x14ac:dyDescent="0.2">
      <c r="A23" s="777"/>
      <c r="B23" s="782"/>
      <c r="D23" s="782"/>
      <c r="E23" s="780"/>
      <c r="F23" s="777"/>
      <c r="G23" s="782"/>
      <c r="I23" s="782"/>
      <c r="J23" s="780"/>
    </row>
    <row r="24" spans="1:11" ht="12.75" thickBot="1" x14ac:dyDescent="0.25">
      <c r="A24" s="783"/>
      <c r="B24" s="784"/>
      <c r="C24" s="785" t="s">
        <v>3</v>
      </c>
      <c r="D24" s="786">
        <f>SUM(D10:D23)</f>
        <v>0</v>
      </c>
      <c r="E24" s="787"/>
      <c r="F24" s="783"/>
      <c r="G24" s="784"/>
      <c r="H24" s="785" t="s">
        <v>3</v>
      </c>
      <c r="I24" s="786">
        <f>SUM(I10:I23)</f>
        <v>0</v>
      </c>
      <c r="J24" s="787"/>
    </row>
    <row r="25" spans="1:11" x14ac:dyDescent="0.2">
      <c r="A25" s="1352" t="s">
        <v>485</v>
      </c>
      <c r="B25" s="1352"/>
      <c r="C25" s="1352"/>
      <c r="D25" s="1352"/>
      <c r="E25" s="1352"/>
      <c r="F25" s="1352"/>
      <c r="G25" s="1352"/>
      <c r="H25" s="1352"/>
      <c r="I25" s="1352"/>
      <c r="J25" s="1352"/>
      <c r="K25" s="1352"/>
    </row>
    <row r="26" spans="1:11" x14ac:dyDescent="0.2">
      <c r="A26" s="1352">
        <f>VLOOKUP($D$4,'Listes détails'!A:M,5,0)</f>
        <v>0</v>
      </c>
      <c r="B26" s="1352"/>
      <c r="C26" s="1352"/>
      <c r="D26" s="1352"/>
      <c r="E26" s="1352"/>
      <c r="F26" s="1352"/>
      <c r="G26" s="1352"/>
      <c r="H26" s="1352"/>
      <c r="I26" s="1352"/>
      <c r="J26" s="1352"/>
      <c r="K26" s="1352"/>
    </row>
    <row r="27" spans="1:11" x14ac:dyDescent="0.2">
      <c r="A27" s="1352"/>
      <c r="B27" s="1352"/>
      <c r="C27" s="1352"/>
      <c r="D27" s="1352"/>
      <c r="E27" s="1352"/>
      <c r="F27" s="1352"/>
      <c r="G27" s="1352"/>
      <c r="H27" s="1352"/>
      <c r="I27" s="1352"/>
      <c r="J27" s="1352"/>
      <c r="K27" s="1352"/>
    </row>
    <row r="28" spans="1:11" ht="12.75" thickBot="1" x14ac:dyDescent="0.25"/>
    <row r="29" spans="1:11" x14ac:dyDescent="0.2">
      <c r="A29" s="789" t="s">
        <v>486</v>
      </c>
      <c r="B29" s="775" t="s">
        <v>473</v>
      </c>
      <c r="C29" s="775" t="s">
        <v>474</v>
      </c>
      <c r="D29" s="775" t="s">
        <v>211</v>
      </c>
      <c r="E29" s="788"/>
      <c r="F29" s="789" t="str">
        <f>A29</f>
        <v>Charges :</v>
      </c>
      <c r="G29" s="775" t="s">
        <v>473</v>
      </c>
      <c r="H29" s="775" t="s">
        <v>474</v>
      </c>
      <c r="I29" s="775" t="s">
        <v>211</v>
      </c>
      <c r="J29" s="776"/>
    </row>
    <row r="30" spans="1:11" x14ac:dyDescent="0.2">
      <c r="A30" s="781" t="s">
        <v>487</v>
      </c>
      <c r="E30" s="780"/>
      <c r="F30" s="781" t="s">
        <v>487</v>
      </c>
      <c r="J30" s="778"/>
    </row>
    <row r="31" spans="1:11" x14ac:dyDescent="0.2">
      <c r="A31" s="777" t="s">
        <v>215</v>
      </c>
      <c r="B31" s="782">
        <f>IF(D31=0,0,D31/C31)</f>
        <v>0</v>
      </c>
      <c r="C31" t="str">
        <f>IF(D31=0,"",$C$5)</f>
        <v/>
      </c>
      <c r="D31" s="782">
        <f>-SUMIFS('Liste Prévisionnels'!D:D,'Liste Prévisionnels'!F:F,$E31,'Liste Prévisionnels'!G:G,$D$4)</f>
        <v>0</v>
      </c>
      <c r="E31" s="780" t="s">
        <v>106</v>
      </c>
      <c r="F31" s="777" t="s">
        <v>215</v>
      </c>
      <c r="G31" s="782">
        <f>IF(I31=0,0,I31/H31)</f>
        <v>0</v>
      </c>
      <c r="H31" t="str">
        <f>IF(I31=0,"",$E$5)</f>
        <v/>
      </c>
      <c r="I31" s="782">
        <f>IF(SUMIFS('Liste prévisionnel'!E:E,'Liste prévisionnel'!I:I,$D$4,'Liste prévisionnel'!K:K,"NON",'Liste prévisionnel'!L:L,J31)&lt;0,-SUMIFS('Liste prévisionnel'!E:E,'Liste prévisionnel'!I:I,$D$4,'Liste prévisionnel'!K:K,"NON",'Liste prévisionnel'!L:L,J31),SUMIFS('Liste prévisionnel'!E:E,'Liste prévisionnel'!I:I,$D$4,'Liste prévisionnel'!K:K,"NON",'Liste prévisionnel'!L:L,J31))</f>
        <v>0</v>
      </c>
      <c r="J31" s="780" t="str">
        <f t="shared" ref="J31" si="12">E31</f>
        <v>Achats denrées alimentaires</v>
      </c>
      <c r="K31" s="797">
        <f>IF(D31=0,0,I31/D31)</f>
        <v>0</v>
      </c>
    </row>
    <row r="32" spans="1:11" x14ac:dyDescent="0.2">
      <c r="A32" s="777" t="s">
        <v>216</v>
      </c>
      <c r="B32" s="782">
        <f t="shared" ref="B32:B35" si="13">IF(D32=0,0,D32/C32)</f>
        <v>0</v>
      </c>
      <c r="C32" t="str">
        <f t="shared" ref="C32:C35" si="14">IF(D32=0,"",$C$5)</f>
        <v/>
      </c>
      <c r="D32" s="782">
        <f>-SUMIFS('Liste Prévisionnels'!D:D,'Liste Prévisionnels'!F:F,$E32,'Liste Prévisionnels'!G:G,$D$4)</f>
        <v>0</v>
      </c>
      <c r="E32" s="780" t="s">
        <v>129</v>
      </c>
      <c r="F32" s="777" t="s">
        <v>216</v>
      </c>
      <c r="G32" s="782">
        <f>IF(I32=0,0,I32/H32)</f>
        <v>0</v>
      </c>
      <c r="H32" t="str">
        <f>IF(I32=0,"",$E$5)</f>
        <v/>
      </c>
      <c r="I32" s="782">
        <f>IF(SUMIFS('Liste prévisionnel'!E:E,'Liste prévisionnel'!I:I,$D$4,'Liste prévisionnel'!K:K,"NON",'Liste prévisionnel'!L:L,J32)&lt;0,-SUMIFS('Liste prévisionnel'!E:E,'Liste prévisionnel'!I:I,$D$4,'Liste prévisionnel'!K:K,"NON",'Liste prévisionnel'!L:L,J32),SUMIFS('Liste prévisionnel'!E:E,'Liste prévisionnel'!I:I,$D$4,'Liste prévisionnel'!K:K,"NON",'Liste prévisionnel'!L:L,J32))</f>
        <v>0</v>
      </c>
      <c r="J32" s="780" t="s">
        <v>129</v>
      </c>
      <c r="K32" s="797">
        <f t="shared" ref="K32:K49" si="15">IF(D32=0,0,I32/D32)</f>
        <v>0</v>
      </c>
    </row>
    <row r="33" spans="1:11" x14ac:dyDescent="0.2">
      <c r="A33" s="777" t="s">
        <v>390</v>
      </c>
      <c r="B33" s="782">
        <f t="shared" si="13"/>
        <v>0</v>
      </c>
      <c r="C33" t="str">
        <f t="shared" si="14"/>
        <v/>
      </c>
      <c r="D33" s="782">
        <f>-SUMIFS('Liste Prévisionnels'!D:D,'Liste Prévisionnels'!F:F,$E33,'Liste Prévisionnels'!G:G,$D$4)</f>
        <v>0</v>
      </c>
      <c r="E33" s="780" t="s">
        <v>120</v>
      </c>
      <c r="F33" s="777" t="s">
        <v>390</v>
      </c>
      <c r="G33" s="782">
        <f t="shared" ref="G33:G35" si="16">IF(I33=0,0,I33/H33)</f>
        <v>0</v>
      </c>
      <c r="H33" t="str">
        <f t="shared" ref="H33:H35" si="17">IF(I33=0,"",$E$5)</f>
        <v/>
      </c>
      <c r="I33" s="782">
        <f>IF(SUMIFS('Liste prévisionnel'!E:E,'Liste prévisionnel'!I:I,$D$4,'Liste prévisionnel'!K:K,"NON",'Liste prévisionnel'!L:L,J33)&lt;0,-SUMIFS('Liste prévisionnel'!E:E,'Liste prévisionnel'!I:I,$D$4,'Liste prévisionnel'!K:K,"NON",'Liste prévisionnel'!L:L,J33),SUMIFS('Liste prévisionnel'!E:E,'Liste prévisionnel'!I:I,$D$4,'Liste prévisionnel'!K:K,"NON",'Liste prévisionnel'!L:L,J33))</f>
        <v>0</v>
      </c>
      <c r="J33" s="780" t="s">
        <v>120</v>
      </c>
      <c r="K33" s="797">
        <f t="shared" si="15"/>
        <v>0</v>
      </c>
    </row>
    <row r="34" spans="1:11" x14ac:dyDescent="0.2">
      <c r="A34" s="777" t="s">
        <v>488</v>
      </c>
      <c r="B34" s="782">
        <f t="shared" si="13"/>
        <v>0</v>
      </c>
      <c r="C34" t="str">
        <f t="shared" si="14"/>
        <v/>
      </c>
      <c r="D34" s="782">
        <f>-SUMIFS('Liste Prévisionnels'!D:D,'Liste Prévisionnels'!F:F,$E34,'Liste Prévisionnels'!G:G,$D$4)</f>
        <v>0</v>
      </c>
      <c r="E34" s="780" t="s">
        <v>107</v>
      </c>
      <c r="F34" s="777" t="s">
        <v>488</v>
      </c>
      <c r="G34" s="782">
        <f t="shared" si="16"/>
        <v>0</v>
      </c>
      <c r="H34" t="str">
        <f t="shared" si="17"/>
        <v/>
      </c>
      <c r="I34" s="782">
        <f>IF(SUMIFS('Liste prévisionnel'!E:E,'Liste prévisionnel'!I:I,$D$4,'Liste prévisionnel'!K:K,"NON",'Liste prévisionnel'!L:L,J34)&lt;0,-SUMIFS('Liste prévisionnel'!E:E,'Liste prévisionnel'!I:I,$D$4,'Liste prévisionnel'!K:K,"NON",'Liste prévisionnel'!L:L,J34),SUMIFS('Liste prévisionnel'!E:E,'Liste prévisionnel'!I:I,$D$4,'Liste prévisionnel'!K:K,"NON",'Liste prévisionnel'!L:L,J34))</f>
        <v>0</v>
      </c>
      <c r="J34" s="780" t="s">
        <v>107</v>
      </c>
      <c r="K34" s="797">
        <f t="shared" si="15"/>
        <v>0</v>
      </c>
    </row>
    <row r="35" spans="1:11" x14ac:dyDescent="0.2">
      <c r="A35" s="777" t="s">
        <v>394</v>
      </c>
      <c r="B35" s="782">
        <f t="shared" si="13"/>
        <v>0</v>
      </c>
      <c r="C35" t="str">
        <f t="shared" si="14"/>
        <v/>
      </c>
      <c r="D35" s="782">
        <f>-SUMIFS('Liste Prévisionnels'!D:D,'Liste Prévisionnels'!F:F,$E35,'Liste Prévisionnels'!G:G,$D$4)</f>
        <v>0</v>
      </c>
      <c r="E35" s="780" t="s">
        <v>108</v>
      </c>
      <c r="F35" s="777" t="s">
        <v>394</v>
      </c>
      <c r="G35" s="782">
        <f t="shared" si="16"/>
        <v>0</v>
      </c>
      <c r="H35" t="str">
        <f t="shared" si="17"/>
        <v/>
      </c>
      <c r="I35" s="782">
        <f>IF(SUMIFS('Liste prévisionnel'!E:E,'Liste prévisionnel'!I:I,$D$4,'Liste prévisionnel'!K:K,"NON",'Liste prévisionnel'!L:L,J35)&lt;0,-SUMIFS('Liste prévisionnel'!E:E,'Liste prévisionnel'!I:I,$D$4,'Liste prévisionnel'!K:K,"NON",'Liste prévisionnel'!L:L,J35),SUMIFS('Liste prévisionnel'!E:E,'Liste prévisionnel'!I:I,$D$4,'Liste prévisionnel'!K:K,"NON",'Liste prévisionnel'!L:L,J35))</f>
        <v>0</v>
      </c>
      <c r="J35" s="780" t="s">
        <v>108</v>
      </c>
      <c r="K35" s="797">
        <f t="shared" si="15"/>
        <v>0</v>
      </c>
    </row>
    <row r="36" spans="1:11" x14ac:dyDescent="0.2">
      <c r="A36" s="777"/>
      <c r="B36" s="782"/>
      <c r="D36" s="782"/>
      <c r="E36" s="780"/>
      <c r="F36" s="777"/>
      <c r="G36" s="782"/>
      <c r="I36" s="782"/>
      <c r="J36" s="780"/>
      <c r="K36" s="797"/>
    </row>
    <row r="37" spans="1:11" x14ac:dyDescent="0.2">
      <c r="A37" s="781" t="s">
        <v>489</v>
      </c>
      <c r="B37" s="782"/>
      <c r="D37" s="782"/>
      <c r="E37" s="780"/>
      <c r="F37" s="781" t="s">
        <v>489</v>
      </c>
      <c r="G37" s="782"/>
      <c r="I37" s="782"/>
      <c r="J37" s="780"/>
      <c r="K37" s="797"/>
    </row>
    <row r="38" spans="1:11" x14ac:dyDescent="0.2">
      <c r="A38" s="777" t="s">
        <v>219</v>
      </c>
      <c r="B38" s="782">
        <f t="shared" ref="B38:B40" si="18">IF(D38=0,0,D38/C38)</f>
        <v>0</v>
      </c>
      <c r="C38" t="str">
        <f t="shared" ref="C38:C40" si="19">IF(D38=0,"",$C$5)</f>
        <v/>
      </c>
      <c r="D38" s="782">
        <f>-SUMIFS('Liste Prévisionnels'!D:D,'Liste Prévisionnels'!F:F,$E38,'Liste Prévisionnels'!G:G,$D$4)</f>
        <v>0</v>
      </c>
      <c r="E38" s="780" t="s">
        <v>138</v>
      </c>
      <c r="F38" s="777" t="s">
        <v>219</v>
      </c>
      <c r="G38" s="782">
        <f t="shared" ref="G38:G40" si="20">IF(I38=0,0,I38/H38)</f>
        <v>0</v>
      </c>
      <c r="H38" t="str">
        <f t="shared" ref="H38:H40" si="21">IF(I38=0,"",$E$5)</f>
        <v/>
      </c>
      <c r="I38" s="782">
        <f>IF(SUMIFS('Liste prévisionnel'!E:E,'Liste prévisionnel'!I:I,$D$4,'Liste prévisionnel'!K:K,"NON",'Liste prévisionnel'!L:L,J38)&lt;0,-SUMIFS('Liste prévisionnel'!E:E,'Liste prévisionnel'!I:I,$D$4,'Liste prévisionnel'!K:K,"NON",'Liste prévisionnel'!L:L,J38),SUMIFS('Liste prévisionnel'!E:E,'Liste prévisionnel'!I:I,$D$4,'Liste prévisionnel'!K:K,"NON",'Liste prévisionnel'!L:L,J38))</f>
        <v>0</v>
      </c>
      <c r="J38" s="780" t="s">
        <v>138</v>
      </c>
      <c r="K38" s="797">
        <f t="shared" si="15"/>
        <v>0</v>
      </c>
    </row>
    <row r="39" spans="1:11" x14ac:dyDescent="0.2">
      <c r="A39" s="777" t="s">
        <v>393</v>
      </c>
      <c r="B39" s="782">
        <f t="shared" si="18"/>
        <v>0</v>
      </c>
      <c r="C39" t="str">
        <f t="shared" si="19"/>
        <v/>
      </c>
      <c r="D39" s="782">
        <f>-SUMIFS('Liste Prévisionnels'!D:D,'Liste Prévisionnels'!F:F,$E39,'Liste Prévisionnels'!G:G,$D$4)</f>
        <v>0</v>
      </c>
      <c r="E39" s="780" t="s">
        <v>137</v>
      </c>
      <c r="F39" s="777" t="s">
        <v>393</v>
      </c>
      <c r="G39" s="782">
        <f t="shared" si="20"/>
        <v>0</v>
      </c>
      <c r="H39" t="str">
        <f t="shared" si="21"/>
        <v/>
      </c>
      <c r="I39" s="782">
        <f>IF(SUMIFS('Liste prévisionnel'!E:E,'Liste prévisionnel'!I:I,$D$4,'Liste prévisionnel'!K:K,"NON",'Liste prévisionnel'!L:L,J39)&lt;0,-SUMIFS('Liste prévisionnel'!E:E,'Liste prévisionnel'!I:I,$D$4,'Liste prévisionnel'!K:K,"NON",'Liste prévisionnel'!L:L,J39),SUMIFS('Liste prévisionnel'!E:E,'Liste prévisionnel'!I:I,$D$4,'Liste prévisionnel'!K:K,"NON",'Liste prévisionnel'!L:L,J39))</f>
        <v>0</v>
      </c>
      <c r="J39" s="780" t="s">
        <v>137</v>
      </c>
      <c r="K39" s="797">
        <f t="shared" si="15"/>
        <v>0</v>
      </c>
    </row>
    <row r="40" spans="1:11" x14ac:dyDescent="0.2">
      <c r="A40" s="777" t="s">
        <v>384</v>
      </c>
      <c r="B40" s="782">
        <f t="shared" si="18"/>
        <v>0</v>
      </c>
      <c r="C40" t="str">
        <f t="shared" si="19"/>
        <v/>
      </c>
      <c r="D40" s="782">
        <f>-SUMIFS('Liste Prévisionnels'!D:D,'Liste Prévisionnels'!F:F,$E40,'Liste Prévisionnels'!G:G,$D$4)</f>
        <v>0</v>
      </c>
      <c r="E40" s="780" t="s">
        <v>109</v>
      </c>
      <c r="F40" s="777" t="s">
        <v>384</v>
      </c>
      <c r="G40" s="782">
        <f t="shared" si="20"/>
        <v>0</v>
      </c>
      <c r="H40" t="str">
        <f t="shared" si="21"/>
        <v/>
      </c>
      <c r="I40" s="782">
        <f>IF(SUMIFS('Liste prévisionnel'!E:E,'Liste prévisionnel'!I:I,$D$4,'Liste prévisionnel'!K:K,"NON",'Liste prévisionnel'!L:L,J40)&lt;0,-SUMIFS('Liste prévisionnel'!E:E,'Liste prévisionnel'!I:I,$D$4,'Liste prévisionnel'!K:K,"NON",'Liste prévisionnel'!L:L,J40),SUMIFS('Liste prévisionnel'!E:E,'Liste prévisionnel'!I:I,$D$4,'Liste prévisionnel'!K:K,"NON",'Liste prévisionnel'!L:L,J40))</f>
        <v>0</v>
      </c>
      <c r="J40" s="780" t="s">
        <v>109</v>
      </c>
      <c r="K40" s="797">
        <f t="shared" si="15"/>
        <v>0</v>
      </c>
    </row>
    <row r="41" spans="1:11" x14ac:dyDescent="0.2">
      <c r="A41" s="777"/>
      <c r="B41" s="782"/>
      <c r="D41" s="782"/>
      <c r="E41" s="780"/>
      <c r="F41" s="777"/>
      <c r="G41" s="782"/>
      <c r="I41" s="782"/>
      <c r="J41" s="780"/>
      <c r="K41" s="797"/>
    </row>
    <row r="42" spans="1:11" x14ac:dyDescent="0.2">
      <c r="A42" s="781" t="s">
        <v>360</v>
      </c>
      <c r="B42" s="782"/>
      <c r="D42" s="782"/>
      <c r="E42" s="780"/>
      <c r="F42" s="781" t="s">
        <v>360</v>
      </c>
      <c r="G42" s="782"/>
      <c r="I42" s="782"/>
      <c r="J42" s="780"/>
      <c r="K42" s="797"/>
    </row>
    <row r="43" spans="1:11" x14ac:dyDescent="0.2">
      <c r="A43" s="777" t="s">
        <v>490</v>
      </c>
      <c r="B43" s="782">
        <f t="shared" ref="B43:B48" si="22">IF(D43=0,0,D43/C43)</f>
        <v>0</v>
      </c>
      <c r="C43" t="str">
        <f t="shared" ref="C43:C48" si="23">IF(D43=0,"",$C$5)</f>
        <v/>
      </c>
      <c r="D43" s="782">
        <f>-SUMIFS('Liste Prévisionnels'!D:D,'Liste Prévisionnels'!F:F,$E43,'Liste Prévisionnels'!G:G,$D$4)</f>
        <v>0</v>
      </c>
      <c r="E43" s="780" t="s">
        <v>124</v>
      </c>
      <c r="F43" s="777" t="s">
        <v>490</v>
      </c>
      <c r="G43" s="782">
        <f t="shared" ref="G43:G49" si="24">IF(I43=0,0,I43/H43)</f>
        <v>0</v>
      </c>
      <c r="H43" t="str">
        <f t="shared" ref="H43:H48" si="25">IF(I43=0,"",$E$5)</f>
        <v/>
      </c>
      <c r="I43" s="782">
        <f>IF(SUMIFS('Liste prévisionnel'!E:E,'Liste prévisionnel'!I:I,$D$4,'Liste prévisionnel'!K:K,"NON",'Liste prévisionnel'!L:L,J43)&lt;0,-SUMIFS('Liste prévisionnel'!E:E,'Liste prévisionnel'!I:I,$D$4,'Liste prévisionnel'!K:K,"NON",'Liste prévisionnel'!L:L,J43),SUMIFS('Liste prévisionnel'!E:E,'Liste prévisionnel'!I:I,$D$4,'Liste prévisionnel'!K:K,"NON",'Liste prévisionnel'!L:L,J43))</f>
        <v>0</v>
      </c>
      <c r="J43" s="780" t="s">
        <v>124</v>
      </c>
      <c r="K43" s="797">
        <f t="shared" si="15"/>
        <v>0</v>
      </c>
    </row>
    <row r="44" spans="1:11" x14ac:dyDescent="0.2">
      <c r="A44" s="777" t="s">
        <v>491</v>
      </c>
      <c r="B44" s="782">
        <f t="shared" si="22"/>
        <v>0</v>
      </c>
      <c r="C44" t="str">
        <f t="shared" si="23"/>
        <v/>
      </c>
      <c r="D44" s="782">
        <f>-SUMIFS('Liste Prévisionnels'!D:D,'Liste Prévisionnels'!F:F,$E44,'Liste Prévisionnels'!G:G,$D$4)</f>
        <v>0</v>
      </c>
      <c r="E44" s="780" t="s">
        <v>140</v>
      </c>
      <c r="F44" s="777" t="s">
        <v>491</v>
      </c>
      <c r="G44" s="782">
        <f t="shared" si="24"/>
        <v>0</v>
      </c>
      <c r="H44" t="str">
        <f t="shared" si="25"/>
        <v/>
      </c>
      <c r="I44" s="782">
        <f>IF(SUMIFS('Liste prévisionnel'!E:E,'Liste prévisionnel'!I:I,$D$4,'Liste prévisionnel'!K:K,"NON",'Liste prévisionnel'!L:L,J44)&lt;0,-SUMIFS('Liste prévisionnel'!E:E,'Liste prévisionnel'!I:I,$D$4,'Liste prévisionnel'!K:K,"NON",'Liste prévisionnel'!L:L,J44),SUMIFS('Liste prévisionnel'!E:E,'Liste prévisionnel'!I:I,$D$4,'Liste prévisionnel'!K:K,"NON",'Liste prévisionnel'!L:L,J44))</f>
        <v>0</v>
      </c>
      <c r="J44" s="780" t="s">
        <v>140</v>
      </c>
      <c r="K44" s="797">
        <f t="shared" si="15"/>
        <v>0</v>
      </c>
    </row>
    <row r="45" spans="1:11" x14ac:dyDescent="0.2">
      <c r="A45" s="777" t="s">
        <v>492</v>
      </c>
      <c r="B45" s="782">
        <f t="shared" si="22"/>
        <v>0</v>
      </c>
      <c r="C45" t="str">
        <f t="shared" si="23"/>
        <v/>
      </c>
      <c r="D45" s="782">
        <f>-SUMIFS('Liste Prévisionnels'!D:D,'Liste Prévisionnels'!F:F,$E45,'Liste Prévisionnels'!G:G,$D$4)</f>
        <v>0</v>
      </c>
      <c r="E45" s="780" t="s">
        <v>139</v>
      </c>
      <c r="F45" s="777" t="s">
        <v>492</v>
      </c>
      <c r="G45" s="782">
        <f t="shared" si="24"/>
        <v>0</v>
      </c>
      <c r="H45" t="str">
        <f t="shared" si="25"/>
        <v/>
      </c>
      <c r="I45" s="782">
        <f>IF(SUMIFS('Liste prévisionnel'!E:E,'Liste prévisionnel'!I:I,$D$4,'Liste prévisionnel'!K:K,"NON",'Liste prévisionnel'!L:L,J45)&lt;0,-SUMIFS('Liste prévisionnel'!E:E,'Liste prévisionnel'!I:I,$D$4,'Liste prévisionnel'!K:K,"NON",'Liste prévisionnel'!L:L,J45),SUMIFS('Liste prévisionnel'!E:E,'Liste prévisionnel'!I:I,$D$4,'Liste prévisionnel'!K:K,"NON",'Liste prévisionnel'!L:L,J45))</f>
        <v>0</v>
      </c>
      <c r="J45" s="780" t="s">
        <v>139</v>
      </c>
      <c r="K45" s="797">
        <f t="shared" si="15"/>
        <v>0</v>
      </c>
    </row>
    <row r="46" spans="1:11" x14ac:dyDescent="0.2">
      <c r="A46" s="777" t="s">
        <v>493</v>
      </c>
      <c r="B46" s="782">
        <f t="shared" si="22"/>
        <v>0</v>
      </c>
      <c r="C46" t="str">
        <f t="shared" si="23"/>
        <v/>
      </c>
      <c r="D46" s="782">
        <f>-SUMIFS('Liste Prévisionnels'!D:D,'Liste Prévisionnels'!F:F,$E46,'Liste Prévisionnels'!G:G,$D$4)</f>
        <v>0</v>
      </c>
      <c r="E46" s="780" t="s">
        <v>148</v>
      </c>
      <c r="F46" s="777" t="s">
        <v>493</v>
      </c>
      <c r="G46" s="782">
        <f t="shared" si="24"/>
        <v>0</v>
      </c>
      <c r="H46" t="str">
        <f t="shared" si="25"/>
        <v/>
      </c>
      <c r="I46" s="782">
        <f>IF(SUMIFS('Liste prévisionnel'!E:E,'Liste prévisionnel'!I:I,$D$4,'Liste prévisionnel'!K:K,"NON",'Liste prévisionnel'!L:L,J46)&lt;0,-SUMIFS('Liste prévisionnel'!E:E,'Liste prévisionnel'!I:I,$D$4,'Liste prévisionnel'!K:K,"NON",'Liste prévisionnel'!L:L,J46),SUMIFS('Liste prévisionnel'!E:E,'Liste prévisionnel'!I:I,$D$4,'Liste prévisionnel'!K:K,"NON",'Liste prévisionnel'!L:L,J46))</f>
        <v>0</v>
      </c>
      <c r="J46" s="780" t="s">
        <v>148</v>
      </c>
      <c r="K46" s="797">
        <f t="shared" si="15"/>
        <v>0</v>
      </c>
    </row>
    <row r="47" spans="1:11" x14ac:dyDescent="0.2">
      <c r="A47" s="777" t="s">
        <v>494</v>
      </c>
      <c r="B47" s="782">
        <f t="shared" si="22"/>
        <v>0</v>
      </c>
      <c r="C47" t="str">
        <f t="shared" si="23"/>
        <v/>
      </c>
      <c r="D47" s="782">
        <f>-SUMIFS('Liste Prévisionnels'!D:D,'Liste Prévisionnels'!F:F,$E47,'Liste Prévisionnels'!G:G,$D$4)</f>
        <v>0</v>
      </c>
      <c r="E47" s="780" t="s">
        <v>112</v>
      </c>
      <c r="F47" s="777" t="s">
        <v>494</v>
      </c>
      <c r="G47" s="782">
        <f t="shared" si="24"/>
        <v>0</v>
      </c>
      <c r="H47" t="str">
        <f t="shared" si="25"/>
        <v/>
      </c>
      <c r="I47" s="782">
        <f>IF(SUMIFS('Liste prévisionnel'!E:E,'Liste prévisionnel'!I:I,$D$4,'Liste prévisionnel'!K:K,"NON",'Liste prévisionnel'!L:L,J47)&lt;0,-SUMIFS('Liste prévisionnel'!E:E,'Liste prévisionnel'!I:I,$D$4,'Liste prévisionnel'!K:K,"NON",'Liste prévisionnel'!L:L,J47),SUMIFS('Liste prévisionnel'!E:E,'Liste prévisionnel'!I:I,$D$4,'Liste prévisionnel'!K:K,"NON",'Liste prévisionnel'!L:L,J47))</f>
        <v>0</v>
      </c>
      <c r="J47" s="780" t="s">
        <v>112</v>
      </c>
      <c r="K47" s="797">
        <f t="shared" si="15"/>
        <v>0</v>
      </c>
    </row>
    <row r="48" spans="1:11" x14ac:dyDescent="0.2">
      <c r="A48" s="777" t="s">
        <v>229</v>
      </c>
      <c r="B48" s="782">
        <f t="shared" si="22"/>
        <v>0</v>
      </c>
      <c r="C48" t="str">
        <f t="shared" si="23"/>
        <v/>
      </c>
      <c r="D48" s="782">
        <f>-SUMIFS('Liste Prévisionnels'!D:D,'Liste Prévisionnels'!F:F,$E48,'Liste Prévisionnels'!G:G,$D$4)</f>
        <v>0</v>
      </c>
      <c r="E48" s="780" t="s">
        <v>130</v>
      </c>
      <c r="F48" s="777" t="s">
        <v>229</v>
      </c>
      <c r="G48" s="782">
        <f t="shared" si="24"/>
        <v>0</v>
      </c>
      <c r="H48" t="str">
        <f t="shared" si="25"/>
        <v/>
      </c>
      <c r="I48" s="782">
        <f>IF(SUMIFS('Liste prévisionnel'!E:E,'Liste prévisionnel'!I:I,$D$4,'Liste prévisionnel'!K:K,"NON",'Liste prévisionnel'!L:L,J48)&lt;0,-SUMIFS('Liste prévisionnel'!E:E,'Liste prévisionnel'!I:I,$D$4,'Liste prévisionnel'!K:K,"NON",'Liste prévisionnel'!L:L,J48),SUMIFS('Liste prévisionnel'!E:E,'Liste prévisionnel'!I:I,$D$4,'Liste prévisionnel'!K:K,"NON",'Liste prévisionnel'!L:L,J48))</f>
        <v>0</v>
      </c>
      <c r="J48" s="780" t="s">
        <v>130</v>
      </c>
      <c r="K48" s="797">
        <f t="shared" si="15"/>
        <v>0</v>
      </c>
    </row>
    <row r="49" spans="1:11" x14ac:dyDescent="0.2">
      <c r="A49" s="777" t="s">
        <v>381</v>
      </c>
      <c r="B49" s="782">
        <f t="shared" ref="B49" si="26">IF(D49=0,0,D49/C49)</f>
        <v>0</v>
      </c>
      <c r="C49" t="str">
        <f t="shared" ref="C49" si="27">IF(D49=0,"",$C$5)</f>
        <v/>
      </c>
      <c r="D49" s="782">
        <f>-SUMIFS('Liste Prévisionnels'!D:D,'Liste Prévisionnels'!F:F,$E49,'Liste Prévisionnels'!G:G,$D$4)</f>
        <v>0</v>
      </c>
      <c r="E49" s="780" t="s">
        <v>153</v>
      </c>
      <c r="F49" s="777" t="s">
        <v>381</v>
      </c>
      <c r="G49" s="782">
        <f t="shared" si="24"/>
        <v>0</v>
      </c>
      <c r="H49" t="str">
        <f t="shared" ref="H49" si="28">IF(I49=0,"",$C$5)</f>
        <v/>
      </c>
      <c r="I49" s="782">
        <f>IF(SUMIFS('Liste prévisionnel'!E:E,'Liste prévisionnel'!I:I,$D$4,'Liste prévisionnel'!K:K,"NON",'Liste prévisionnel'!L:L,J49)&lt;0,-SUMIFS('Liste prévisionnel'!E:E,'Liste prévisionnel'!I:I,$D$4,'Liste prévisionnel'!K:K,"NON",'Liste prévisionnel'!L:L,J49),SUMIFS('Liste prévisionnel'!E:E,'Liste prévisionnel'!I:I,$D$4,'Liste prévisionnel'!K:K,"NON",'Liste prévisionnel'!L:L,J49))</f>
        <v>0</v>
      </c>
      <c r="J49" s="780" t="s">
        <v>153</v>
      </c>
      <c r="K49" s="797">
        <f t="shared" si="15"/>
        <v>0</v>
      </c>
    </row>
    <row r="50" spans="1:11" x14ac:dyDescent="0.2">
      <c r="A50" s="777"/>
      <c r="E50" s="780"/>
      <c r="F50" s="777"/>
      <c r="G50" s="782"/>
      <c r="I50" s="782"/>
      <c r="J50" s="780"/>
      <c r="K50" s="714"/>
    </row>
    <row r="51" spans="1:11" x14ac:dyDescent="0.2">
      <c r="A51" s="777"/>
      <c r="E51" s="780"/>
      <c r="F51" s="777"/>
      <c r="J51" s="780"/>
    </row>
    <row r="52" spans="1:11" ht="12.75" thickBot="1" x14ac:dyDescent="0.25">
      <c r="A52" s="783"/>
      <c r="B52" s="784"/>
      <c r="C52" s="785" t="s">
        <v>495</v>
      </c>
      <c r="D52" s="786">
        <f>SUM(D31:D51)</f>
        <v>0</v>
      </c>
      <c r="E52" s="787"/>
      <c r="F52" s="783"/>
      <c r="G52" s="784"/>
      <c r="H52" s="785" t="s">
        <v>495</v>
      </c>
      <c r="I52" s="786">
        <f>SUM(I31:I51)</f>
        <v>0</v>
      </c>
      <c r="J52" s="800" t="e">
        <f>I52/D52</f>
        <v>#DIV/0!</v>
      </c>
    </row>
    <row r="53" spans="1:11" ht="12.75" thickBot="1" x14ac:dyDescent="0.25"/>
    <row r="54" spans="1:11" x14ac:dyDescent="0.2">
      <c r="C54" s="774" t="s">
        <v>181</v>
      </c>
      <c r="D54" s="790">
        <f>D24-D52</f>
        <v>0</v>
      </c>
      <c r="H54" s="774" t="s">
        <v>181</v>
      </c>
      <c r="I54" s="790">
        <f>I24-I52</f>
        <v>0</v>
      </c>
    </row>
    <row r="55" spans="1:11" ht="12.75" thickBot="1" x14ac:dyDescent="0.25">
      <c r="C55" s="791" t="s">
        <v>309</v>
      </c>
      <c r="D55" s="792"/>
      <c r="H55" s="791" t="s">
        <v>207</v>
      </c>
      <c r="I55" s="792"/>
    </row>
    <row r="57" spans="1:11" x14ac:dyDescent="0.2">
      <c r="A57" t="s">
        <v>496</v>
      </c>
    </row>
  </sheetData>
  <mergeCells count="12">
    <mergeCell ref="A26:K27"/>
    <mergeCell ref="A1:K1"/>
    <mergeCell ref="A2:K2"/>
    <mergeCell ref="A3:C3"/>
    <mergeCell ref="D3:F3"/>
    <mergeCell ref="G3:I3"/>
    <mergeCell ref="J3:K3"/>
    <mergeCell ref="A4:C4"/>
    <mergeCell ref="D4:F4"/>
    <mergeCell ref="G4:I4"/>
    <mergeCell ref="J4:K4"/>
    <mergeCell ref="A25:K25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'Listes détails'!$A:$A</xm:f>
          </x14:formula1>
          <xm:sqref>D4:F4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8"/>
  <sheetViews>
    <sheetView workbookViewId="0"/>
  </sheetViews>
  <sheetFormatPr defaultColWidth="9.140625" defaultRowHeight="15" x14ac:dyDescent="0.25"/>
  <cols>
    <col min="1" max="16384" width="9.140625" style="699"/>
  </cols>
  <sheetData>
    <row r="1" spans="1:10" x14ac:dyDescent="0.25">
      <c r="A1" s="699" t="s">
        <v>497</v>
      </c>
      <c r="B1" s="699">
        <v>7.1</v>
      </c>
      <c r="E1" s="699" t="s">
        <v>498</v>
      </c>
    </row>
    <row r="2" spans="1:10" x14ac:dyDescent="0.25">
      <c r="A2" s="699" t="s">
        <v>499</v>
      </c>
      <c r="B2" s="699">
        <v>352.2</v>
      </c>
      <c r="E2" s="699" t="s">
        <v>498</v>
      </c>
    </row>
    <row r="3" spans="1:10" x14ac:dyDescent="0.25">
      <c r="A3" s="699" t="s">
        <v>500</v>
      </c>
      <c r="B3" s="699">
        <v>1580.21</v>
      </c>
      <c r="C3" s="699" t="s">
        <v>501</v>
      </c>
      <c r="D3" s="699">
        <f>864.93-178.54-6.69</f>
        <v>679.69999999999993</v>
      </c>
      <c r="E3" s="699" t="s">
        <v>498</v>
      </c>
    </row>
    <row r="4" spans="1:10" x14ac:dyDescent="0.25">
      <c r="C4" s="699" t="s">
        <v>333</v>
      </c>
      <c r="D4" s="699">
        <v>695.65</v>
      </c>
      <c r="E4" s="699" t="s">
        <v>502</v>
      </c>
      <c r="I4" s="699" t="s">
        <v>502</v>
      </c>
      <c r="J4" s="699">
        <f>D4</f>
        <v>695.65</v>
      </c>
    </row>
    <row r="5" spans="1:10" x14ac:dyDescent="0.25">
      <c r="C5" s="699" t="s">
        <v>503</v>
      </c>
      <c r="D5" s="699">
        <f>7.83+11.8</f>
        <v>19.630000000000003</v>
      </c>
      <c r="E5" s="699" t="s">
        <v>498</v>
      </c>
      <c r="I5" s="699" t="s">
        <v>498</v>
      </c>
      <c r="J5" s="699">
        <f>D5-B2+B1+D3</f>
        <v>354.22999999999996</v>
      </c>
    </row>
    <row r="6" spans="1:10" x14ac:dyDescent="0.25">
      <c r="C6" s="699" t="s">
        <v>504</v>
      </c>
      <c r="D6" s="699">
        <f>178.54+6.69</f>
        <v>185.23</v>
      </c>
      <c r="E6" s="699" t="s">
        <v>505</v>
      </c>
      <c r="I6" s="699" t="s">
        <v>505</v>
      </c>
      <c r="J6" s="699">
        <f>D6</f>
        <v>185.23</v>
      </c>
    </row>
    <row r="7" spans="1:10" x14ac:dyDescent="0.25">
      <c r="C7" s="699" t="s">
        <v>3</v>
      </c>
      <c r="D7" s="699">
        <f>SUM(D3:D6)</f>
        <v>1580.21</v>
      </c>
    </row>
    <row r="8" spans="1:10" x14ac:dyDescent="0.25">
      <c r="B8" s="699">
        <v>-1235.1099999999999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H18"/>
  <sheetViews>
    <sheetView workbookViewId="0"/>
  </sheetViews>
  <sheetFormatPr defaultColWidth="11.140625" defaultRowHeight="15" x14ac:dyDescent="0.25"/>
  <cols>
    <col min="1" max="1" width="34.42578125" style="809" bestFit="1" customWidth="1"/>
    <col min="2" max="2" width="19.28515625" style="809" bestFit="1" customWidth="1"/>
    <col min="3" max="3" width="11.140625" style="809"/>
    <col min="4" max="4" width="34.42578125" style="809" bestFit="1" customWidth="1"/>
    <col min="5" max="16384" width="11.140625" style="809"/>
  </cols>
  <sheetData>
    <row r="3" spans="1:8" x14ac:dyDescent="0.25">
      <c r="A3" s="809" t="s">
        <v>506</v>
      </c>
      <c r="B3" s="809" t="s">
        <v>507</v>
      </c>
      <c r="D3" s="809" t="s">
        <v>506</v>
      </c>
      <c r="E3" s="809" t="s">
        <v>508</v>
      </c>
      <c r="F3" s="809" t="s">
        <v>509</v>
      </c>
      <c r="G3" s="809" t="s">
        <v>212</v>
      </c>
    </row>
    <row r="4" spans="1:8" x14ac:dyDescent="0.25">
      <c r="A4" s="810" t="s">
        <v>510</v>
      </c>
      <c r="B4" s="809">
        <v>40</v>
      </c>
      <c r="D4" s="811" t="s">
        <v>510</v>
      </c>
      <c r="E4" s="809">
        <v>40</v>
      </c>
      <c r="F4" s="809">
        <f>VLOOKUP(D4,[2]Feuil1!$D:$F,3,0)</f>
        <v>21</v>
      </c>
      <c r="G4" s="809">
        <f>E4-F4</f>
        <v>19</v>
      </c>
      <c r="H4" s="809">
        <f>G4*20</f>
        <v>380</v>
      </c>
    </row>
    <row r="5" spans="1:8" x14ac:dyDescent="0.25">
      <c r="A5" s="810" t="s">
        <v>511</v>
      </c>
      <c r="B5" s="809">
        <v>4</v>
      </c>
      <c r="D5" s="811" t="s">
        <v>511</v>
      </c>
      <c r="E5" s="809">
        <v>4</v>
      </c>
      <c r="F5" s="809">
        <f>VLOOKUP(D5,[2]Feuil1!$D:$F,3,0)</f>
        <v>1</v>
      </c>
      <c r="G5" s="809">
        <f t="shared" ref="G5:G16" si="0">E5-F5</f>
        <v>3</v>
      </c>
      <c r="H5" s="809">
        <f t="shared" ref="H5:H16" si="1">G5*20</f>
        <v>60</v>
      </c>
    </row>
    <row r="6" spans="1:8" x14ac:dyDescent="0.25">
      <c r="A6" s="810" t="s">
        <v>512</v>
      </c>
      <c r="B6" s="809">
        <v>23</v>
      </c>
      <c r="D6" s="811" t="s">
        <v>512</v>
      </c>
      <c r="E6" s="809">
        <v>23</v>
      </c>
      <c r="F6" s="809">
        <f>VLOOKUP(D6,[2]Feuil1!$D:$F,3,0)</f>
        <v>10</v>
      </c>
      <c r="G6" s="809">
        <f t="shared" si="0"/>
        <v>13</v>
      </c>
      <c r="H6" s="809">
        <f t="shared" si="1"/>
        <v>260</v>
      </c>
    </row>
    <row r="7" spans="1:8" x14ac:dyDescent="0.25">
      <c r="A7" s="810" t="s">
        <v>513</v>
      </c>
      <c r="B7" s="809">
        <v>25</v>
      </c>
      <c r="D7" s="811" t="s">
        <v>513</v>
      </c>
      <c r="E7" s="809">
        <v>25</v>
      </c>
      <c r="F7" s="809">
        <f>VLOOKUP(D7,[2]Feuil1!$D:$F,3,0)</f>
        <v>24</v>
      </c>
      <c r="G7" s="809">
        <f t="shared" si="0"/>
        <v>1</v>
      </c>
      <c r="H7" s="809">
        <f t="shared" si="1"/>
        <v>20</v>
      </c>
    </row>
    <row r="8" spans="1:8" x14ac:dyDescent="0.25">
      <c r="A8" s="810" t="s">
        <v>514</v>
      </c>
      <c r="B8" s="809">
        <v>19</v>
      </c>
      <c r="D8" s="811" t="s">
        <v>514</v>
      </c>
      <c r="E8" s="809">
        <v>19</v>
      </c>
      <c r="F8" s="809">
        <f>VLOOKUP(D8,[2]Feuil1!$D:$F,3,0)</f>
        <v>15</v>
      </c>
      <c r="G8" s="809">
        <f t="shared" si="0"/>
        <v>4</v>
      </c>
      <c r="H8" s="809">
        <f t="shared" si="1"/>
        <v>80</v>
      </c>
    </row>
    <row r="9" spans="1:8" x14ac:dyDescent="0.25">
      <c r="A9" s="810" t="s">
        <v>515</v>
      </c>
      <c r="B9" s="809">
        <v>43</v>
      </c>
      <c r="D9" s="811" t="s">
        <v>515</v>
      </c>
      <c r="E9" s="809">
        <v>43</v>
      </c>
      <c r="F9" s="809">
        <f>VLOOKUP(D9,[2]Feuil1!$D:$F,3,0)</f>
        <v>41</v>
      </c>
      <c r="G9" s="809">
        <f t="shared" si="0"/>
        <v>2</v>
      </c>
      <c r="H9" s="809">
        <f t="shared" si="1"/>
        <v>40</v>
      </c>
    </row>
    <row r="10" spans="1:8" x14ac:dyDescent="0.25">
      <c r="A10" s="810" t="s">
        <v>516</v>
      </c>
      <c r="B10" s="809">
        <v>53</v>
      </c>
      <c r="D10" s="811" t="s">
        <v>516</v>
      </c>
      <c r="E10" s="809">
        <v>53</v>
      </c>
      <c r="F10" s="809">
        <f>VLOOKUP(D10,[2]Feuil1!$D:$F,3,0)</f>
        <v>44</v>
      </c>
      <c r="G10" s="809">
        <f t="shared" si="0"/>
        <v>9</v>
      </c>
      <c r="H10" s="809">
        <f t="shared" si="1"/>
        <v>180</v>
      </c>
    </row>
    <row r="11" spans="1:8" s="811" customFormat="1" x14ac:dyDescent="0.25">
      <c r="A11" s="812" t="s">
        <v>517</v>
      </c>
      <c r="B11" s="811">
        <v>21</v>
      </c>
      <c r="D11" s="811" t="s">
        <v>517</v>
      </c>
      <c r="E11" s="811">
        <v>21</v>
      </c>
      <c r="F11" s="811">
        <f>VLOOKUP(D11,[2]Feuil1!$D:$F,3,0)</f>
        <v>13</v>
      </c>
      <c r="G11" s="811">
        <f t="shared" si="0"/>
        <v>8</v>
      </c>
      <c r="H11" s="811">
        <f t="shared" si="1"/>
        <v>160</v>
      </c>
    </row>
    <row r="12" spans="1:8" x14ac:dyDescent="0.25">
      <c r="A12" s="810" t="s">
        <v>518</v>
      </c>
      <c r="B12" s="809">
        <v>17</v>
      </c>
      <c r="D12" s="811" t="s">
        <v>518</v>
      </c>
      <c r="E12" s="809">
        <v>17</v>
      </c>
      <c r="F12" s="809">
        <f>VLOOKUP(D12,[2]Feuil1!$D:$F,3,0)</f>
        <v>12</v>
      </c>
      <c r="G12" s="809">
        <f t="shared" si="0"/>
        <v>5</v>
      </c>
      <c r="H12" s="809">
        <f t="shared" si="1"/>
        <v>100</v>
      </c>
    </row>
    <row r="13" spans="1:8" x14ac:dyDescent="0.25">
      <c r="A13" s="810" t="s">
        <v>519</v>
      </c>
      <c r="B13" s="809">
        <v>11</v>
      </c>
      <c r="D13" s="811" t="s">
        <v>519</v>
      </c>
      <c r="E13" s="809">
        <v>11</v>
      </c>
      <c r="F13" s="809">
        <f>VLOOKUP(D13,[2]Feuil1!$D:$F,3,0)</f>
        <v>8</v>
      </c>
      <c r="G13" s="809">
        <f t="shared" si="0"/>
        <v>3</v>
      </c>
      <c r="H13" s="809">
        <f t="shared" si="1"/>
        <v>60</v>
      </c>
    </row>
    <row r="14" spans="1:8" s="811" customFormat="1" x14ac:dyDescent="0.25">
      <c r="A14" s="812" t="s">
        <v>520</v>
      </c>
      <c r="B14" s="811">
        <v>53</v>
      </c>
      <c r="D14" s="811" t="s">
        <v>520</v>
      </c>
      <c r="E14" s="811">
        <v>53</v>
      </c>
      <c r="F14" s="811">
        <f>VLOOKUP(D14,[2]Feuil1!$D:$F,3,0)</f>
        <v>36</v>
      </c>
      <c r="G14" s="811">
        <f t="shared" si="0"/>
        <v>17</v>
      </c>
      <c r="H14" s="811">
        <f t="shared" si="1"/>
        <v>340</v>
      </c>
    </row>
    <row r="15" spans="1:8" x14ac:dyDescent="0.25">
      <c r="A15" s="810" t="s">
        <v>521</v>
      </c>
      <c r="B15" s="809">
        <v>34</v>
      </c>
      <c r="D15" s="811" t="s">
        <v>521</v>
      </c>
      <c r="E15" s="809">
        <v>34</v>
      </c>
      <c r="F15" s="809">
        <f>VLOOKUP(D15,[2]Feuil1!$D:$F,3,0)</f>
        <v>24</v>
      </c>
      <c r="G15" s="809">
        <f t="shared" si="0"/>
        <v>10</v>
      </c>
      <c r="H15" s="809">
        <f t="shared" si="1"/>
        <v>200</v>
      </c>
    </row>
    <row r="16" spans="1:8" x14ac:dyDescent="0.25">
      <c r="A16" s="810" t="s">
        <v>522</v>
      </c>
      <c r="B16" s="809">
        <v>41</v>
      </c>
      <c r="D16" s="811" t="s">
        <v>522</v>
      </c>
      <c r="E16" s="809">
        <v>41</v>
      </c>
      <c r="F16" s="809">
        <f>VLOOKUP(D16,[2]Feuil1!$D:$F,3,0)</f>
        <v>33</v>
      </c>
      <c r="G16" s="809">
        <f t="shared" si="0"/>
        <v>8</v>
      </c>
      <c r="H16" s="809">
        <f t="shared" si="1"/>
        <v>160</v>
      </c>
    </row>
    <row r="17" spans="1:8" x14ac:dyDescent="0.25">
      <c r="A17" s="810" t="s">
        <v>523</v>
      </c>
      <c r="D17" s="809" t="s">
        <v>523</v>
      </c>
    </row>
    <row r="18" spans="1:8" x14ac:dyDescent="0.25">
      <c r="A18" s="810" t="s">
        <v>524</v>
      </c>
      <c r="B18" s="809">
        <v>384</v>
      </c>
      <c r="D18" s="809" t="s">
        <v>524</v>
      </c>
      <c r="E18" s="809">
        <v>384</v>
      </c>
      <c r="F18" s="809">
        <f>VLOOKUP(D18,[2]Feuil1!$D:$F,3,0)</f>
        <v>282</v>
      </c>
      <c r="G18" s="809">
        <f>SUM(G4:G16)</f>
        <v>102</v>
      </c>
      <c r="H18" s="809">
        <f>G18*20</f>
        <v>2040</v>
      </c>
    </row>
  </sheetData>
  <pageMargins left="0.7" right="0.7" top="0.75" bottom="0.75" header="0.3" footer="0.3"/>
  <pageSetup paperSize="9" orientation="portrait" r:id="rId2"/>
  <headerFooter>
    <oddFooter>&amp;C&amp;1#&amp;"Calibri"&amp;10&amp;K000000Usage Interne / Internal Use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M44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00" customWidth="1"/>
    <col min="3" max="4" width="5.42578125" style="500" customWidth="1"/>
    <col min="5" max="5" width="12" style="500" customWidth="1"/>
    <col min="6" max="6" width="15.140625" style="500" customWidth="1"/>
    <col min="7" max="7" width="5.42578125" style="500" customWidth="1"/>
    <col min="8" max="8" width="7.5703125" style="500" customWidth="1"/>
    <col min="9" max="9" width="10.28515625" style="500" customWidth="1"/>
    <col min="10" max="11" width="15.140625" style="500" customWidth="1"/>
    <col min="12" max="16384" width="16.5703125" style="500"/>
  </cols>
  <sheetData>
    <row r="1" spans="1:11" ht="25.5" customHeight="1" x14ac:dyDescent="0.35">
      <c r="A1" s="1353" t="s">
        <v>525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1" ht="15" customHeight="1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1" ht="15" x14ac:dyDescent="0.2">
      <c r="A3" s="501" t="s">
        <v>184</v>
      </c>
      <c r="B3" s="502"/>
      <c r="C3" s="1366" t="s">
        <v>337</v>
      </c>
      <c r="D3" s="1367"/>
      <c r="E3" s="1367"/>
      <c r="F3" s="1368"/>
      <c r="G3" s="1369" t="s">
        <v>186</v>
      </c>
      <c r="H3" s="1370"/>
      <c r="I3" s="1371"/>
      <c r="J3" s="1372" t="s">
        <v>187</v>
      </c>
      <c r="K3" s="1373"/>
    </row>
    <row r="4" spans="1:11" ht="15" customHeight="1" x14ac:dyDescent="0.2">
      <c r="A4" s="501" t="s">
        <v>188</v>
      </c>
      <c r="B4" s="502"/>
      <c r="C4" s="1361" t="s">
        <v>526</v>
      </c>
      <c r="D4" s="1362"/>
      <c r="E4" s="1362"/>
      <c r="F4" s="1363"/>
      <c r="G4" s="1364" t="s">
        <v>527</v>
      </c>
      <c r="H4" s="1365"/>
      <c r="I4" s="503">
        <v>1</v>
      </c>
      <c r="J4" s="504" t="s">
        <v>266</v>
      </c>
      <c r="K4" s="505">
        <v>175</v>
      </c>
    </row>
    <row r="5" spans="1:11" ht="15" customHeight="1" x14ac:dyDescent="0.2">
      <c r="A5" s="501" t="s">
        <v>528</v>
      </c>
      <c r="B5" s="502"/>
      <c r="C5" s="1361"/>
      <c r="D5" s="1362"/>
      <c r="E5" s="1362"/>
      <c r="F5" s="1363"/>
      <c r="G5" s="1364" t="s">
        <v>529</v>
      </c>
      <c r="H5" s="1365"/>
      <c r="I5" s="503"/>
      <c r="J5" s="504"/>
      <c r="K5" s="505"/>
    </row>
    <row r="6" spans="1:11" ht="15" customHeight="1" x14ac:dyDescent="0.2">
      <c r="A6" s="501" t="s">
        <v>530</v>
      </c>
      <c r="B6" s="502"/>
      <c r="C6" s="1374">
        <v>65</v>
      </c>
      <c r="D6" s="1375"/>
      <c r="E6" s="1375"/>
      <c r="F6" s="1376"/>
      <c r="G6" s="1364" t="s">
        <v>531</v>
      </c>
      <c r="H6" s="1365"/>
      <c r="I6" s="503"/>
      <c r="J6" s="504"/>
      <c r="K6" s="505"/>
    </row>
    <row r="7" spans="1:11" ht="15" customHeight="1" x14ac:dyDescent="0.2">
      <c r="A7" s="501" t="s">
        <v>198</v>
      </c>
      <c r="B7" s="502"/>
      <c r="C7" s="1377"/>
      <c r="D7" s="1378"/>
      <c r="E7" s="1378"/>
      <c r="F7" s="1379"/>
      <c r="G7" s="1364"/>
      <c r="H7" s="1365"/>
      <c r="I7" s="503"/>
      <c r="J7" s="504"/>
      <c r="K7" s="505"/>
    </row>
    <row r="8" spans="1:11" ht="15" customHeight="1" x14ac:dyDescent="0.2">
      <c r="A8" s="501" t="s">
        <v>201</v>
      </c>
      <c r="B8" s="502"/>
      <c r="C8" s="1377"/>
      <c r="D8" s="1378"/>
      <c r="E8" s="1378"/>
      <c r="F8" s="1379"/>
      <c r="G8" s="1364"/>
      <c r="H8" s="1365"/>
      <c r="I8" s="503"/>
      <c r="J8" s="506" t="s">
        <v>3</v>
      </c>
      <c r="K8" s="507">
        <f>SUM(K4:K7)</f>
        <v>175</v>
      </c>
    </row>
    <row r="9" spans="1:11" ht="15" customHeight="1" x14ac:dyDescent="0.2">
      <c r="A9" s="501" t="s">
        <v>203</v>
      </c>
      <c r="B9" s="502"/>
      <c r="C9" s="1380">
        <v>3</v>
      </c>
      <c r="D9" s="1381"/>
      <c r="E9" s="1381"/>
      <c r="F9" s="1382"/>
      <c r="G9" s="1364"/>
      <c r="H9" s="1365"/>
      <c r="I9" s="503">
        <v>54</v>
      </c>
      <c r="J9" s="508"/>
      <c r="K9" s="509"/>
    </row>
    <row r="10" spans="1:11" ht="15" customHeight="1" x14ac:dyDescent="0.2">
      <c r="A10" s="501" t="s">
        <v>204</v>
      </c>
      <c r="B10" s="502"/>
      <c r="C10" s="1383">
        <f>K8</f>
        <v>175</v>
      </c>
      <c r="D10" s="1384"/>
      <c r="E10" s="1384"/>
      <c r="F10" s="1385"/>
      <c r="G10" s="1386" t="s">
        <v>3</v>
      </c>
      <c r="H10" s="1387"/>
      <c r="I10" s="510">
        <f>SUM(I4:I9)</f>
        <v>55</v>
      </c>
      <c r="J10" s="511" t="s">
        <v>205</v>
      </c>
      <c r="K10" s="512"/>
    </row>
    <row r="11" spans="1:11" thickBot="1" x14ac:dyDescent="0.3">
      <c r="A11" s="513"/>
      <c r="B11" s="513"/>
      <c r="C11" s="513"/>
      <c r="D11" s="513"/>
      <c r="E11" s="513"/>
      <c r="F11" s="513"/>
      <c r="G11" s="513"/>
      <c r="H11" s="513"/>
      <c r="I11" s="513"/>
      <c r="J11" s="513"/>
      <c r="K11" s="513"/>
    </row>
    <row r="12" spans="1:11" ht="15" x14ac:dyDescent="0.2">
      <c r="A12" s="1388" t="s">
        <v>206</v>
      </c>
      <c r="B12" s="1388"/>
      <c r="C12" s="1388"/>
      <c r="D12" s="1388"/>
      <c r="E12" s="1388"/>
      <c r="F12" s="1389"/>
      <c r="G12" s="1390" t="s">
        <v>207</v>
      </c>
      <c r="H12" s="1391"/>
      <c r="I12" s="1391"/>
      <c r="J12" s="1392"/>
      <c r="K12" s="1393"/>
    </row>
    <row r="13" spans="1:11" ht="15" customHeight="1" x14ac:dyDescent="0.25">
      <c r="A13" s="513"/>
      <c r="B13" s="513"/>
      <c r="C13" s="514" t="s">
        <v>208</v>
      </c>
      <c r="D13" s="515" t="s">
        <v>209</v>
      </c>
      <c r="E13" s="516" t="s">
        <v>210</v>
      </c>
      <c r="F13" s="517" t="s">
        <v>211</v>
      </c>
      <c r="G13" s="518" t="s">
        <v>208</v>
      </c>
      <c r="H13" s="515" t="s">
        <v>209</v>
      </c>
      <c r="I13" s="516" t="s">
        <v>210</v>
      </c>
      <c r="J13" s="519" t="s">
        <v>211</v>
      </c>
      <c r="K13" s="1394"/>
    </row>
    <row r="14" spans="1:11" ht="18.75" customHeight="1" x14ac:dyDescent="0.3">
      <c r="A14" s="1395" t="s">
        <v>532</v>
      </c>
      <c r="B14" s="1396"/>
      <c r="C14" s="1397"/>
      <c r="D14" s="1397"/>
      <c r="E14" s="1397"/>
      <c r="F14" s="1397"/>
      <c r="G14" s="1397"/>
      <c r="H14" s="1397"/>
      <c r="I14" s="1397"/>
      <c r="J14" s="1397"/>
      <c r="K14" s="1394"/>
    </row>
    <row r="15" spans="1:11" ht="15" customHeight="1" x14ac:dyDescent="0.2">
      <c r="A15" s="520" t="s">
        <v>215</v>
      </c>
      <c r="B15" s="521" t="s">
        <v>106</v>
      </c>
      <c r="C15" s="514">
        <v>2</v>
      </c>
      <c r="D15" s="522">
        <f>C10+I10</f>
        <v>230</v>
      </c>
      <c r="E15" s="523">
        <v>8</v>
      </c>
      <c r="F15" s="524">
        <f t="shared" ref="F15:F18" si="0">C15*D15*E15</f>
        <v>3680</v>
      </c>
      <c r="G15" s="525">
        <f>$C$9</f>
        <v>3</v>
      </c>
      <c r="H15" s="522"/>
      <c r="I15" s="526"/>
      <c r="J15" s="527"/>
      <c r="K15" s="1394"/>
    </row>
    <row r="16" spans="1:11" ht="15" customHeight="1" x14ac:dyDescent="0.2">
      <c r="A16" s="520" t="s">
        <v>216</v>
      </c>
      <c r="B16" s="521" t="s">
        <v>107</v>
      </c>
      <c r="C16" s="514"/>
      <c r="D16" s="522"/>
      <c r="E16" s="523"/>
      <c r="F16" s="524">
        <f t="shared" si="0"/>
        <v>0</v>
      </c>
      <c r="G16" s="525">
        <f t="shared" ref="G16:G21" si="1">$C$9</f>
        <v>3</v>
      </c>
      <c r="H16" s="522"/>
      <c r="I16" s="526"/>
      <c r="J16" s="528"/>
      <c r="K16" s="1394"/>
    </row>
    <row r="17" spans="1:13" ht="15" customHeight="1" x14ac:dyDescent="0.2">
      <c r="A17" s="520" t="s">
        <v>217</v>
      </c>
      <c r="B17" s="521" t="s">
        <v>120</v>
      </c>
      <c r="C17" s="514">
        <f t="shared" ref="C17:C19" si="2">$C$9</f>
        <v>3</v>
      </c>
      <c r="D17" s="522">
        <f t="shared" ref="D17:D19" si="3">$C$10+$I$10</f>
        <v>230</v>
      </c>
      <c r="E17" s="523"/>
      <c r="F17" s="524">
        <v>200</v>
      </c>
      <c r="G17" s="525">
        <f t="shared" si="1"/>
        <v>3</v>
      </c>
      <c r="H17" s="522"/>
      <c r="I17" s="526"/>
      <c r="J17" s="528"/>
      <c r="K17" s="1394"/>
    </row>
    <row r="18" spans="1:13" ht="15" customHeight="1" x14ac:dyDescent="0.2">
      <c r="A18" s="520" t="s">
        <v>218</v>
      </c>
      <c r="B18" s="521" t="s">
        <v>107</v>
      </c>
      <c r="C18" s="514">
        <f t="shared" si="2"/>
        <v>3</v>
      </c>
      <c r="D18" s="522">
        <f t="shared" si="3"/>
        <v>230</v>
      </c>
      <c r="E18" s="523"/>
      <c r="F18" s="524">
        <f t="shared" si="0"/>
        <v>0</v>
      </c>
      <c r="G18" s="525">
        <f t="shared" si="1"/>
        <v>3</v>
      </c>
      <c r="H18" s="522"/>
      <c r="I18" s="526"/>
      <c r="J18" s="528"/>
      <c r="K18" s="1394"/>
    </row>
    <row r="19" spans="1:13" ht="15" customHeight="1" thickBot="1" x14ac:dyDescent="0.25">
      <c r="A19" s="520" t="s">
        <v>219</v>
      </c>
      <c r="B19" s="521" t="s">
        <v>108</v>
      </c>
      <c r="C19" s="514">
        <f t="shared" si="2"/>
        <v>3</v>
      </c>
      <c r="D19" s="522">
        <f t="shared" si="3"/>
        <v>230</v>
      </c>
      <c r="E19" s="529"/>
      <c r="F19" s="524">
        <f t="shared" ref="F19:F21" si="4">C19*D19*E19</f>
        <v>0</v>
      </c>
      <c r="G19" s="525">
        <f t="shared" si="1"/>
        <v>3</v>
      </c>
      <c r="H19" s="522"/>
      <c r="I19" s="530"/>
      <c r="J19" s="528"/>
      <c r="K19" s="1394"/>
    </row>
    <row r="20" spans="1:13" ht="15" customHeight="1" x14ac:dyDescent="0.2">
      <c r="A20" s="520" t="s">
        <v>220</v>
      </c>
      <c r="B20" s="531" t="s">
        <v>116</v>
      </c>
      <c r="C20" s="514">
        <v>8</v>
      </c>
      <c r="D20" s="522">
        <f>C10</f>
        <v>175</v>
      </c>
      <c r="E20" s="523"/>
      <c r="F20" s="524">
        <f t="shared" si="4"/>
        <v>0</v>
      </c>
      <c r="G20" s="525">
        <f t="shared" si="1"/>
        <v>3</v>
      </c>
      <c r="H20" s="522"/>
      <c r="I20" s="526"/>
      <c r="J20" s="528"/>
      <c r="K20" s="1394"/>
    </row>
    <row r="21" spans="1:13" ht="15" customHeight="1" x14ac:dyDescent="0.2">
      <c r="A21" s="520" t="s">
        <v>221</v>
      </c>
      <c r="B21" s="521" t="s">
        <v>110</v>
      </c>
      <c r="C21" s="514">
        <f>C9</f>
        <v>3</v>
      </c>
      <c r="D21" s="522">
        <f>C10+I10</f>
        <v>230</v>
      </c>
      <c r="E21" s="523"/>
      <c r="F21" s="524">
        <f t="shared" si="4"/>
        <v>0</v>
      </c>
      <c r="G21" s="525">
        <f t="shared" si="1"/>
        <v>3</v>
      </c>
      <c r="H21" s="522"/>
      <c r="I21" s="526"/>
      <c r="J21" s="528"/>
      <c r="K21" s="1394"/>
    </row>
    <row r="22" spans="1:13" ht="15" customHeight="1" x14ac:dyDescent="0.25">
      <c r="A22" s="532" t="s">
        <v>3</v>
      </c>
      <c r="B22" s="533"/>
      <c r="C22" s="534"/>
      <c r="D22" s="535"/>
      <c r="E22" s="536"/>
      <c r="F22" s="537">
        <f>SUM(F15:F21)</f>
        <v>3880</v>
      </c>
      <c r="G22" s="538"/>
      <c r="H22" s="539"/>
      <c r="I22" s="540"/>
      <c r="J22" s="528"/>
      <c r="K22" s="1394"/>
      <c r="M22" s="541"/>
    </row>
    <row r="23" spans="1:13" ht="18.75" customHeight="1" x14ac:dyDescent="0.3">
      <c r="A23" s="1395" t="s">
        <v>223</v>
      </c>
      <c r="B23" s="1396"/>
      <c r="C23" s="1397"/>
      <c r="D23" s="1397"/>
      <c r="E23" s="1397"/>
      <c r="F23" s="1397"/>
      <c r="G23" s="1397"/>
      <c r="H23" s="1397"/>
      <c r="I23" s="1397"/>
      <c r="J23" s="1397"/>
      <c r="K23" s="1394"/>
    </row>
    <row r="24" spans="1:13" ht="18" customHeight="1" x14ac:dyDescent="0.25">
      <c r="A24" s="1398" t="s">
        <v>224</v>
      </c>
      <c r="B24" s="1399"/>
      <c r="C24" s="1355"/>
      <c r="D24" s="1355"/>
      <c r="E24" s="1355"/>
      <c r="F24" s="1355"/>
      <c r="G24" s="1355"/>
      <c r="H24" s="1355"/>
      <c r="I24" s="1355"/>
      <c r="J24" s="1355"/>
      <c r="K24" s="1394"/>
    </row>
    <row r="25" spans="1:13" ht="18" customHeight="1" x14ac:dyDescent="0.2">
      <c r="A25" s="520" t="s">
        <v>533</v>
      </c>
      <c r="B25" s="542"/>
      <c r="C25" s="514">
        <f t="shared" ref="C25" si="5">$C$9</f>
        <v>3</v>
      </c>
      <c r="D25" s="522">
        <v>1</v>
      </c>
      <c r="E25" s="523"/>
      <c r="F25" s="537">
        <v>100</v>
      </c>
      <c r="G25" s="525">
        <f t="shared" ref="G25:G29" si="6">$C$9</f>
        <v>3</v>
      </c>
      <c r="H25" s="522"/>
      <c r="I25" s="526"/>
      <c r="J25" s="528"/>
      <c r="K25" s="1394"/>
    </row>
    <row r="26" spans="1:13" ht="18" customHeight="1" x14ac:dyDescent="0.2">
      <c r="A26" s="520" t="s">
        <v>393</v>
      </c>
      <c r="B26" s="542"/>
      <c r="C26" s="514"/>
      <c r="D26" s="522"/>
      <c r="E26" s="523"/>
      <c r="F26" s="537">
        <v>8700</v>
      </c>
      <c r="G26" s="525">
        <f t="shared" si="6"/>
        <v>3</v>
      </c>
      <c r="H26" s="522"/>
      <c r="I26" s="526"/>
      <c r="J26" s="528"/>
      <c r="K26" s="1394"/>
    </row>
    <row r="27" spans="1:13" ht="18" customHeight="1" x14ac:dyDescent="0.2">
      <c r="A27" s="520"/>
      <c r="B27" s="542"/>
      <c r="C27" s="514"/>
      <c r="D27" s="522"/>
      <c r="E27" s="523"/>
      <c r="F27" s="537"/>
      <c r="G27" s="525">
        <f t="shared" si="6"/>
        <v>3</v>
      </c>
      <c r="H27" s="522"/>
      <c r="I27" s="526"/>
      <c r="J27" s="528"/>
      <c r="K27" s="1394"/>
    </row>
    <row r="28" spans="1:13" ht="18" customHeight="1" x14ac:dyDescent="0.2">
      <c r="A28" s="520"/>
      <c r="B28" s="542"/>
      <c r="C28" s="514"/>
      <c r="D28" s="522"/>
      <c r="E28" s="523"/>
      <c r="F28" s="537"/>
      <c r="G28" s="525">
        <f t="shared" si="6"/>
        <v>3</v>
      </c>
      <c r="H28" s="522"/>
      <c r="I28" s="526"/>
      <c r="J28" s="528"/>
      <c r="K28" s="1394"/>
    </row>
    <row r="29" spans="1:13" ht="18" customHeight="1" x14ac:dyDescent="0.2">
      <c r="A29" s="520"/>
      <c r="B29" s="542"/>
      <c r="C29" s="514"/>
      <c r="D29" s="522"/>
      <c r="E29" s="523"/>
      <c r="F29" s="537"/>
      <c r="G29" s="525">
        <f t="shared" si="6"/>
        <v>3</v>
      </c>
      <c r="H29" s="522"/>
      <c r="I29" s="526"/>
      <c r="J29" s="528"/>
      <c r="K29" s="1394"/>
    </row>
    <row r="30" spans="1:13" ht="15" customHeight="1" x14ac:dyDescent="0.25">
      <c r="A30" s="547" t="s">
        <v>3</v>
      </c>
      <c r="B30" s="548"/>
      <c r="C30" s="543"/>
      <c r="D30" s="544"/>
      <c r="E30" s="549"/>
      <c r="F30" s="537">
        <f>F25+F26</f>
        <v>8800</v>
      </c>
      <c r="G30" s="545"/>
      <c r="H30" s="513"/>
      <c r="I30" s="546"/>
      <c r="J30" s="537"/>
      <c r="K30" s="1394"/>
    </row>
    <row r="31" spans="1:13" ht="15" customHeight="1" x14ac:dyDescent="0.25">
      <c r="A31" s="550" t="s">
        <v>534</v>
      </c>
      <c r="B31" s="551"/>
      <c r="C31" s="552"/>
      <c r="D31" s="553"/>
      <c r="E31" s="554"/>
      <c r="F31" s="537">
        <f>+F30+F22</f>
        <v>12680</v>
      </c>
      <c r="G31" s="538"/>
      <c r="H31" s="539"/>
      <c r="I31" s="540"/>
      <c r="J31" s="537"/>
      <c r="K31" s="1394"/>
    </row>
    <row r="32" spans="1:13" ht="18" customHeight="1" x14ac:dyDescent="0.25">
      <c r="A32" s="1400" t="s">
        <v>535</v>
      </c>
      <c r="B32" s="1401"/>
      <c r="C32" s="1397"/>
      <c r="D32" s="1397"/>
      <c r="E32" s="1397"/>
      <c r="F32" s="1397"/>
      <c r="G32" s="1397"/>
      <c r="H32" s="1397"/>
      <c r="I32" s="1397"/>
      <c r="J32" s="1397"/>
      <c r="K32" s="1394"/>
    </row>
    <row r="33" spans="1:11" ht="15" customHeight="1" x14ac:dyDescent="0.2">
      <c r="A33" s="555"/>
      <c r="B33" s="556"/>
      <c r="C33" s="514"/>
      <c r="D33" s="522">
        <f>K4</f>
        <v>175</v>
      </c>
      <c r="E33" s="557"/>
      <c r="F33" s="524">
        <f>D33*E33</f>
        <v>0</v>
      </c>
      <c r="G33" s="525"/>
      <c r="H33" s="522"/>
      <c r="I33" s="558"/>
      <c r="J33" s="524"/>
      <c r="K33" s="1394"/>
    </row>
    <row r="34" spans="1:11" ht="15" customHeight="1" x14ac:dyDescent="0.2">
      <c r="A34" s="555" t="s">
        <v>536</v>
      </c>
      <c r="B34" s="556"/>
      <c r="C34" s="514">
        <f>C9</f>
        <v>3</v>
      </c>
      <c r="D34" s="522">
        <f>C10</f>
        <v>175</v>
      </c>
      <c r="E34" s="557"/>
      <c r="F34" s="524">
        <f>K5*0.07*C6</f>
        <v>0</v>
      </c>
      <c r="G34" s="525"/>
      <c r="H34" s="522"/>
      <c r="I34" s="558"/>
      <c r="J34" s="524"/>
      <c r="K34" s="1394"/>
    </row>
    <row r="35" spans="1:11" ht="15" customHeight="1" x14ac:dyDescent="0.25">
      <c r="A35" s="550" t="s">
        <v>537</v>
      </c>
      <c r="B35" s="551"/>
      <c r="C35" s="559"/>
      <c r="D35" s="560"/>
      <c r="E35" s="554"/>
      <c r="F35" s="537">
        <f>SUM(F33:F34)</f>
        <v>0</v>
      </c>
      <c r="G35" s="560"/>
      <c r="H35" s="560"/>
      <c r="I35" s="554"/>
      <c r="J35" s="537"/>
      <c r="K35" s="1394"/>
    </row>
    <row r="36" spans="1:11" thickBot="1" x14ac:dyDescent="0.3">
      <c r="A36" s="561"/>
      <c r="B36" s="561"/>
      <c r="C36" s="561"/>
      <c r="D36" s="561"/>
      <c r="E36" s="513"/>
      <c r="F36" s="562" t="s">
        <v>538</v>
      </c>
      <c r="G36" s="513"/>
      <c r="H36" s="513"/>
      <c r="I36" s="513"/>
      <c r="J36" s="562"/>
      <c r="K36" s="1394"/>
    </row>
    <row r="37" spans="1:11" ht="16.5" customHeight="1" thickTop="1" thickBot="1" x14ac:dyDescent="0.3">
      <c r="A37" s="563" t="s">
        <v>240</v>
      </c>
      <c r="B37" s="564"/>
      <c r="C37" s="564"/>
      <c r="D37" s="565"/>
      <c r="E37" s="566"/>
      <c r="F37" s="567">
        <f>F35+F31</f>
        <v>12680</v>
      </c>
      <c r="G37" s="513"/>
      <c r="H37" s="513"/>
      <c r="I37" s="513"/>
      <c r="J37" s="567"/>
      <c r="K37" s="1394"/>
    </row>
    <row r="38" spans="1:11" ht="16.5" customHeight="1" thickTop="1" thickBot="1" x14ac:dyDescent="0.3">
      <c r="A38" s="568" t="s">
        <v>86</v>
      </c>
      <c r="B38" s="569"/>
      <c r="C38" s="569"/>
      <c r="D38" s="570"/>
      <c r="E38" s="571"/>
      <c r="F38" s="572">
        <f>C6*K8</f>
        <v>11375</v>
      </c>
      <c r="G38" s="513"/>
      <c r="H38" s="513"/>
      <c r="I38" s="513"/>
      <c r="J38" s="572"/>
      <c r="K38" s="1394"/>
    </row>
    <row r="39" spans="1:11" ht="16.5" customHeight="1" thickTop="1" x14ac:dyDescent="0.25">
      <c r="A39" s="573" t="s">
        <v>245</v>
      </c>
      <c r="B39" s="574"/>
      <c r="C39" s="574"/>
      <c r="D39" s="575"/>
      <c r="E39" s="576"/>
      <c r="F39" s="577">
        <f>F38-F37</f>
        <v>-1305</v>
      </c>
      <c r="G39" s="513"/>
      <c r="H39" s="513"/>
      <c r="I39" s="513"/>
      <c r="J39" s="577"/>
      <c r="K39" s="1394"/>
    </row>
    <row r="40" spans="1:11" ht="17.25" hidden="1" customHeight="1" x14ac:dyDescent="0.25">
      <c r="A40" s="578" t="s">
        <v>539</v>
      </c>
      <c r="B40" s="579"/>
      <c r="C40" s="580"/>
      <c r="D40" s="580"/>
      <c r="E40" s="580"/>
      <c r="F40" s="581">
        <v>0</v>
      </c>
      <c r="G40" s="549"/>
      <c r="H40" s="549"/>
      <c r="I40" s="549"/>
      <c r="J40" s="549"/>
      <c r="K40" s="549"/>
    </row>
    <row r="41" spans="1:11" hidden="1" thickBot="1" x14ac:dyDescent="0.3">
      <c r="A41" s="582" t="s">
        <v>3</v>
      </c>
      <c r="B41" s="583"/>
      <c r="C41" s="580"/>
      <c r="D41" s="580"/>
      <c r="E41" s="580"/>
      <c r="F41" s="584">
        <f>SUM(F39:F39)</f>
        <v>-1305</v>
      </c>
      <c r="G41" s="549"/>
      <c r="H41" s="549"/>
      <c r="I41" s="549"/>
      <c r="J41" s="549"/>
      <c r="K41" s="549"/>
    </row>
    <row r="44" spans="1:11" ht="15.75" customHeight="1" x14ac:dyDescent="0.2">
      <c r="F44" s="585"/>
    </row>
  </sheetData>
  <mergeCells count="26">
    <mergeCell ref="A12:F12"/>
    <mergeCell ref="G12:J12"/>
    <mergeCell ref="K12:K39"/>
    <mergeCell ref="A14:J14"/>
    <mergeCell ref="A23:J23"/>
    <mergeCell ref="A24:J24"/>
    <mergeCell ref="A32:J32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M82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89" customWidth="1"/>
    <col min="3" max="4" width="5.42578125" style="589" customWidth="1"/>
    <col min="5" max="5" width="12" style="589" customWidth="1"/>
    <col min="6" max="6" width="15.140625" style="589" customWidth="1"/>
    <col min="7" max="7" width="5.42578125" style="589" customWidth="1"/>
    <col min="8" max="8" width="7.5703125" style="589" customWidth="1"/>
    <col min="9" max="9" width="10.28515625" style="589" customWidth="1"/>
    <col min="10" max="11" width="15.140625" style="589" customWidth="1"/>
    <col min="12" max="16384" width="16.5703125" style="589"/>
  </cols>
  <sheetData>
    <row r="1" spans="1:11" ht="25.5" customHeight="1" x14ac:dyDescent="0.35">
      <c r="A1" s="1407" t="s">
        <v>525</v>
      </c>
      <c r="B1" s="1407"/>
      <c r="C1" s="1407"/>
      <c r="D1" s="1407"/>
      <c r="E1" s="1407"/>
      <c r="F1" s="1407"/>
      <c r="G1" s="1407"/>
      <c r="H1" s="1407"/>
      <c r="I1" s="1407"/>
      <c r="J1" s="1407"/>
      <c r="K1" s="1407"/>
    </row>
    <row r="2" spans="1:11" ht="15" customHeight="1" x14ac:dyDescent="0.2">
      <c r="A2" s="1408" t="s">
        <v>183</v>
      </c>
      <c r="B2" s="1408"/>
      <c r="C2" s="1409"/>
      <c r="D2" s="1409"/>
      <c r="E2" s="1409"/>
      <c r="F2" s="1409"/>
      <c r="G2" s="1409"/>
      <c r="H2" s="1409"/>
      <c r="I2" s="1409"/>
      <c r="J2" s="1409"/>
      <c r="K2" s="1409"/>
    </row>
    <row r="3" spans="1:11" ht="15" x14ac:dyDescent="0.2">
      <c r="A3" s="590" t="s">
        <v>184</v>
      </c>
      <c r="B3" s="591"/>
      <c r="C3" s="1410" t="s">
        <v>540</v>
      </c>
      <c r="D3" s="1411"/>
      <c r="E3" s="1411"/>
      <c r="F3" s="1412"/>
      <c r="G3" s="1413" t="s">
        <v>186</v>
      </c>
      <c r="H3" s="1414"/>
      <c r="I3" s="1415"/>
      <c r="J3" s="1416" t="s">
        <v>187</v>
      </c>
      <c r="K3" s="1417"/>
    </row>
    <row r="4" spans="1:11" ht="15" customHeight="1" x14ac:dyDescent="0.2">
      <c r="A4" s="590" t="s">
        <v>188</v>
      </c>
      <c r="B4" s="591"/>
      <c r="C4" s="1402"/>
      <c r="D4" s="1403"/>
      <c r="E4" s="1403"/>
      <c r="F4" s="1404"/>
      <c r="G4" s="1405" t="s">
        <v>527</v>
      </c>
      <c r="H4" s="1406"/>
      <c r="I4" s="592">
        <v>1</v>
      </c>
      <c r="J4" s="593" t="s">
        <v>189</v>
      </c>
      <c r="K4" s="505">
        <v>10</v>
      </c>
    </row>
    <row r="5" spans="1:11" ht="15" customHeight="1" x14ac:dyDescent="0.2">
      <c r="A5" s="590" t="s">
        <v>528</v>
      </c>
      <c r="B5" s="591"/>
      <c r="C5" s="1402"/>
      <c r="D5" s="1403"/>
      <c r="E5" s="1403"/>
      <c r="F5" s="1404"/>
      <c r="G5" s="1405" t="s">
        <v>541</v>
      </c>
      <c r="H5" s="1406"/>
      <c r="I5" s="592"/>
      <c r="J5" s="593" t="s">
        <v>193</v>
      </c>
      <c r="K5" s="505">
        <v>10</v>
      </c>
    </row>
    <row r="6" spans="1:11" ht="15" customHeight="1" x14ac:dyDescent="0.2">
      <c r="A6" s="590" t="s">
        <v>530</v>
      </c>
      <c r="B6" s="591"/>
      <c r="C6" s="1418">
        <v>320</v>
      </c>
      <c r="D6" s="1419"/>
      <c r="E6" s="1419"/>
      <c r="F6" s="1420"/>
      <c r="G6" s="1405" t="s">
        <v>531</v>
      </c>
      <c r="H6" s="1406"/>
      <c r="I6" s="592">
        <v>1</v>
      </c>
      <c r="J6" s="593" t="s">
        <v>197</v>
      </c>
      <c r="K6" s="505">
        <v>10</v>
      </c>
    </row>
    <row r="7" spans="1:11" ht="15" customHeight="1" x14ac:dyDescent="0.2">
      <c r="A7" s="590" t="s">
        <v>198</v>
      </c>
      <c r="B7" s="591"/>
      <c r="C7" s="1421"/>
      <c r="D7" s="1422"/>
      <c r="E7" s="1422"/>
      <c r="F7" s="1423"/>
      <c r="G7" s="1405" t="s">
        <v>542</v>
      </c>
      <c r="H7" s="1406"/>
      <c r="I7" s="592"/>
      <c r="J7" s="593" t="s">
        <v>199</v>
      </c>
      <c r="K7" s="505"/>
    </row>
    <row r="8" spans="1:11" ht="15" customHeight="1" x14ac:dyDescent="0.2">
      <c r="A8" s="590" t="s">
        <v>201</v>
      </c>
      <c r="B8" s="591"/>
      <c r="C8" s="1421"/>
      <c r="D8" s="1422"/>
      <c r="E8" s="1422"/>
      <c r="F8" s="1423"/>
      <c r="G8" s="1405" t="s">
        <v>543</v>
      </c>
      <c r="H8" s="1406"/>
      <c r="I8" s="592"/>
      <c r="J8" s="594" t="s">
        <v>3</v>
      </c>
      <c r="K8" s="595">
        <f>SUM(K4:K7)</f>
        <v>30</v>
      </c>
    </row>
    <row r="9" spans="1:11" ht="15" customHeight="1" x14ac:dyDescent="0.2">
      <c r="A9" s="590" t="s">
        <v>203</v>
      </c>
      <c r="B9" s="591"/>
      <c r="C9" s="1424">
        <v>6</v>
      </c>
      <c r="D9" s="1425"/>
      <c r="E9" s="1425"/>
      <c r="F9" s="1426"/>
      <c r="G9" s="1405" t="s">
        <v>544</v>
      </c>
      <c r="H9" s="1406"/>
      <c r="I9" s="592">
        <v>5</v>
      </c>
      <c r="J9" s="596"/>
      <c r="K9" s="597"/>
    </row>
    <row r="10" spans="1:11" ht="15" customHeight="1" x14ac:dyDescent="0.2">
      <c r="A10" s="590" t="s">
        <v>204</v>
      </c>
      <c r="B10" s="591"/>
      <c r="C10" s="1427">
        <f>K8</f>
        <v>30</v>
      </c>
      <c r="D10" s="1428"/>
      <c r="E10" s="1428"/>
      <c r="F10" s="1429"/>
      <c r="G10" s="1430" t="s">
        <v>3</v>
      </c>
      <c r="H10" s="1431"/>
      <c r="I10" s="598">
        <f>SUM(I4:I9)</f>
        <v>7</v>
      </c>
      <c r="J10" s="599" t="s">
        <v>205</v>
      </c>
      <c r="K10" s="600"/>
    </row>
    <row r="11" spans="1:11" thickBot="1" x14ac:dyDescent="0.3">
      <c r="A11" s="601"/>
      <c r="B11" s="601"/>
      <c r="C11" s="601"/>
      <c r="D11" s="601"/>
      <c r="E11" s="601"/>
      <c r="F11" s="601"/>
      <c r="G11" s="601"/>
      <c r="H11" s="601"/>
      <c r="I11" s="601"/>
      <c r="J11" s="601"/>
      <c r="K11" s="601"/>
    </row>
    <row r="12" spans="1:11" ht="15" x14ac:dyDescent="0.2">
      <c r="A12" s="1432" t="s">
        <v>206</v>
      </c>
      <c r="B12" s="1432"/>
      <c r="C12" s="1432"/>
      <c r="D12" s="1432"/>
      <c r="E12" s="1432"/>
      <c r="F12" s="1433"/>
      <c r="G12" s="1434" t="s">
        <v>207</v>
      </c>
      <c r="H12" s="1435"/>
      <c r="I12" s="1435"/>
      <c r="J12" s="1436"/>
      <c r="K12" s="1437"/>
    </row>
    <row r="13" spans="1:11" ht="15" customHeight="1" x14ac:dyDescent="0.25">
      <c r="A13" s="601"/>
      <c r="B13" s="601"/>
      <c r="C13" s="602" t="s">
        <v>208</v>
      </c>
      <c r="D13" s="603" t="s">
        <v>209</v>
      </c>
      <c r="E13" s="604" t="s">
        <v>210</v>
      </c>
      <c r="F13" s="605" t="s">
        <v>211</v>
      </c>
      <c r="G13" s="606" t="s">
        <v>208</v>
      </c>
      <c r="H13" s="603" t="s">
        <v>209</v>
      </c>
      <c r="I13" s="604" t="s">
        <v>210</v>
      </c>
      <c r="J13" s="607" t="s">
        <v>211</v>
      </c>
      <c r="K13" s="1438"/>
    </row>
    <row r="14" spans="1:11" ht="18.75" customHeight="1" x14ac:dyDescent="0.3">
      <c r="A14" s="1439" t="s">
        <v>532</v>
      </c>
      <c r="B14" s="1440"/>
      <c r="C14" s="1441"/>
      <c r="D14" s="1441"/>
      <c r="E14" s="1441"/>
      <c r="F14" s="1441"/>
      <c r="G14" s="1441"/>
      <c r="H14" s="1441"/>
      <c r="I14" s="1441"/>
      <c r="J14" s="1441"/>
      <c r="K14" s="1438"/>
    </row>
    <row r="15" spans="1:11" ht="15" customHeight="1" x14ac:dyDescent="0.2">
      <c r="A15" s="608" t="s">
        <v>215</v>
      </c>
      <c r="B15" s="609" t="s">
        <v>106</v>
      </c>
      <c r="C15" s="602">
        <f>C9</f>
        <v>6</v>
      </c>
      <c r="D15" s="610">
        <f>C10+I10</f>
        <v>37</v>
      </c>
      <c r="E15" s="611">
        <v>7</v>
      </c>
      <c r="F15" s="612">
        <f t="shared" ref="F15:F18" si="0">C15*D15*E15</f>
        <v>1554</v>
      </c>
      <c r="G15" s="613">
        <f>$C$9</f>
        <v>6</v>
      </c>
      <c r="H15" s="610"/>
      <c r="I15" s="614"/>
      <c r="J15" s="615"/>
      <c r="K15" s="1438"/>
    </row>
    <row r="16" spans="1:11" ht="15" customHeight="1" x14ac:dyDescent="0.2">
      <c r="A16" s="608" t="s">
        <v>216</v>
      </c>
      <c r="B16" s="609" t="s">
        <v>107</v>
      </c>
      <c r="C16" s="602">
        <f>$C$9</f>
        <v>6</v>
      </c>
      <c r="D16" s="610">
        <f>$C$10+$I$10</f>
        <v>37</v>
      </c>
      <c r="E16" s="611">
        <v>0.2</v>
      </c>
      <c r="F16" s="612">
        <v>50</v>
      </c>
      <c r="G16" s="613">
        <f t="shared" ref="G16:G21" si="1">$C$9</f>
        <v>6</v>
      </c>
      <c r="H16" s="610"/>
      <c r="I16" s="614"/>
      <c r="J16" s="616"/>
      <c r="K16" s="1438"/>
    </row>
    <row r="17" spans="1:13" ht="15" customHeight="1" x14ac:dyDescent="0.2">
      <c r="A17" s="608" t="s">
        <v>217</v>
      </c>
      <c r="B17" s="609" t="s">
        <v>120</v>
      </c>
      <c r="C17" s="602">
        <f t="shared" ref="C17:C19" si="2">$C$9</f>
        <v>6</v>
      </c>
      <c r="D17" s="610">
        <f t="shared" ref="D17:D19" si="3">$C$10+$I$10</f>
        <v>37</v>
      </c>
      <c r="E17" s="611">
        <v>1</v>
      </c>
      <c r="F17" s="612">
        <f t="shared" si="0"/>
        <v>222</v>
      </c>
      <c r="G17" s="613">
        <f t="shared" si="1"/>
        <v>6</v>
      </c>
      <c r="H17" s="610"/>
      <c r="I17" s="614"/>
      <c r="J17" s="616"/>
      <c r="K17" s="1438"/>
    </row>
    <row r="18" spans="1:13" ht="15" customHeight="1" x14ac:dyDescent="0.2">
      <c r="A18" s="608" t="s">
        <v>218</v>
      </c>
      <c r="B18" s="609" t="s">
        <v>107</v>
      </c>
      <c r="C18" s="602">
        <f t="shared" si="2"/>
        <v>6</v>
      </c>
      <c r="D18" s="610">
        <f t="shared" si="3"/>
        <v>37</v>
      </c>
      <c r="E18" s="611">
        <v>1</v>
      </c>
      <c r="F18" s="612">
        <f t="shared" si="0"/>
        <v>222</v>
      </c>
      <c r="G18" s="613">
        <f t="shared" si="1"/>
        <v>6</v>
      </c>
      <c r="H18" s="610"/>
      <c r="I18" s="614"/>
      <c r="J18" s="616"/>
      <c r="K18" s="1438"/>
    </row>
    <row r="19" spans="1:13" ht="15" customHeight="1" thickBot="1" x14ac:dyDescent="0.25">
      <c r="A19" s="608" t="s">
        <v>219</v>
      </c>
      <c r="B19" s="609" t="s">
        <v>108</v>
      </c>
      <c r="C19" s="602">
        <f t="shared" si="2"/>
        <v>6</v>
      </c>
      <c r="D19" s="610">
        <f t="shared" si="3"/>
        <v>37</v>
      </c>
      <c r="E19" s="617"/>
      <c r="F19" s="612">
        <v>100</v>
      </c>
      <c r="G19" s="613">
        <f t="shared" si="1"/>
        <v>6</v>
      </c>
      <c r="H19" s="610"/>
      <c r="I19" s="618"/>
      <c r="J19" s="616"/>
      <c r="K19" s="1438"/>
    </row>
    <row r="20" spans="1:13" ht="15" customHeight="1" x14ac:dyDescent="0.2">
      <c r="A20" s="608" t="s">
        <v>220</v>
      </c>
      <c r="B20" s="619" t="s">
        <v>116</v>
      </c>
      <c r="C20" s="602">
        <v>8</v>
      </c>
      <c r="D20" s="610">
        <f>C10</f>
        <v>30</v>
      </c>
      <c r="E20" s="611"/>
      <c r="F20" s="612">
        <f t="shared" ref="F20" si="4">C20*D20*E20</f>
        <v>0</v>
      </c>
      <c r="G20" s="613">
        <f t="shared" si="1"/>
        <v>6</v>
      </c>
      <c r="H20" s="610"/>
      <c r="I20" s="614"/>
      <c r="J20" s="616"/>
      <c r="K20" s="1438"/>
    </row>
    <row r="21" spans="1:13" ht="15" customHeight="1" x14ac:dyDescent="0.2">
      <c r="A21" s="608" t="s">
        <v>221</v>
      </c>
      <c r="B21" s="609" t="s">
        <v>110</v>
      </c>
      <c r="C21" s="602">
        <f>C9</f>
        <v>6</v>
      </c>
      <c r="D21" s="610">
        <f>C10+I10</f>
        <v>37</v>
      </c>
      <c r="E21" s="611"/>
      <c r="F21" s="612">
        <v>50</v>
      </c>
      <c r="G21" s="613">
        <f t="shared" si="1"/>
        <v>6</v>
      </c>
      <c r="H21" s="610"/>
      <c r="I21" s="614"/>
      <c r="J21" s="616"/>
      <c r="K21" s="1438"/>
    </row>
    <row r="22" spans="1:13" ht="15" customHeight="1" x14ac:dyDescent="0.25">
      <c r="A22" s="620" t="s">
        <v>3</v>
      </c>
      <c r="B22" s="621"/>
      <c r="C22" s="622"/>
      <c r="D22" s="623"/>
      <c r="E22" s="624"/>
      <c r="F22" s="625">
        <f>SUM(F15:F21)</f>
        <v>2198</v>
      </c>
      <c r="G22" s="626"/>
      <c r="H22" s="627"/>
      <c r="I22" s="628"/>
      <c r="J22" s="616"/>
      <c r="K22" s="1438"/>
      <c r="M22" s="541"/>
    </row>
    <row r="23" spans="1:13" ht="18.75" customHeight="1" x14ac:dyDescent="0.3">
      <c r="A23" s="1439" t="s">
        <v>223</v>
      </c>
      <c r="B23" s="1440"/>
      <c r="C23" s="1441"/>
      <c r="D23" s="1441"/>
      <c r="E23" s="1441"/>
      <c r="F23" s="1441"/>
      <c r="G23" s="1441"/>
      <c r="H23" s="1441"/>
      <c r="I23" s="1441"/>
      <c r="J23" s="1441"/>
      <c r="K23" s="1438"/>
    </row>
    <row r="24" spans="1:13" ht="18" customHeight="1" x14ac:dyDescent="0.25">
      <c r="A24" s="1442" t="s">
        <v>224</v>
      </c>
      <c r="B24" s="1443"/>
      <c r="C24" s="1409"/>
      <c r="D24" s="1409"/>
      <c r="E24" s="1409"/>
      <c r="F24" s="1409"/>
      <c r="G24" s="1409"/>
      <c r="H24" s="1409"/>
      <c r="I24" s="1409"/>
      <c r="J24" s="1409"/>
      <c r="K24" s="1438"/>
    </row>
    <row r="25" spans="1:13" ht="18" customHeight="1" x14ac:dyDescent="0.2">
      <c r="A25" s="608" t="s">
        <v>384</v>
      </c>
      <c r="B25" s="629"/>
      <c r="C25" s="602">
        <f t="shared" ref="C25:C29" si="5">$C$9</f>
        <v>6</v>
      </c>
      <c r="D25" s="610">
        <v>1</v>
      </c>
      <c r="E25" s="611">
        <v>200</v>
      </c>
      <c r="F25" s="625">
        <f t="shared" ref="F25:F29" si="6">C25*D25*E25</f>
        <v>1200</v>
      </c>
      <c r="G25" s="613">
        <f t="shared" ref="G25:G29" si="7">$C$9</f>
        <v>6</v>
      </c>
      <c r="H25" s="610"/>
      <c r="I25" s="614"/>
      <c r="J25" s="616"/>
      <c r="K25" s="1438"/>
    </row>
    <row r="26" spans="1:13" ht="18" customHeight="1" x14ac:dyDescent="0.2">
      <c r="A26" s="608"/>
      <c r="B26" s="629"/>
      <c r="C26" s="602">
        <f t="shared" si="5"/>
        <v>6</v>
      </c>
      <c r="D26" s="610">
        <v>1</v>
      </c>
      <c r="E26" s="611"/>
      <c r="F26" s="625">
        <f t="shared" si="6"/>
        <v>0</v>
      </c>
      <c r="G26" s="613">
        <f t="shared" si="7"/>
        <v>6</v>
      </c>
      <c r="H26" s="610"/>
      <c r="I26" s="614"/>
      <c r="J26" s="616"/>
      <c r="K26" s="1438"/>
    </row>
    <row r="27" spans="1:13" ht="18" customHeight="1" x14ac:dyDescent="0.2">
      <c r="A27" s="608"/>
      <c r="B27" s="629"/>
      <c r="C27" s="602"/>
      <c r="D27" s="610"/>
      <c r="E27" s="611"/>
      <c r="F27" s="625">
        <f t="shared" si="6"/>
        <v>0</v>
      </c>
      <c r="G27" s="613">
        <f t="shared" si="7"/>
        <v>6</v>
      </c>
      <c r="H27" s="610"/>
      <c r="I27" s="614"/>
      <c r="J27" s="616"/>
      <c r="K27" s="1438"/>
    </row>
    <row r="28" spans="1:13" ht="18" customHeight="1" x14ac:dyDescent="0.2">
      <c r="A28" s="608"/>
      <c r="B28" s="629"/>
      <c r="C28" s="602">
        <f t="shared" si="5"/>
        <v>6</v>
      </c>
      <c r="D28" s="610">
        <f t="shared" ref="D28:D29" si="8">$C$10+$I$10</f>
        <v>37</v>
      </c>
      <c r="E28" s="611"/>
      <c r="F28" s="625">
        <f t="shared" si="6"/>
        <v>0</v>
      </c>
      <c r="G28" s="613">
        <f t="shared" si="7"/>
        <v>6</v>
      </c>
      <c r="H28" s="610"/>
      <c r="I28" s="614"/>
      <c r="J28" s="616"/>
      <c r="K28" s="1438"/>
    </row>
    <row r="29" spans="1:13" ht="18" customHeight="1" x14ac:dyDescent="0.2">
      <c r="A29" s="608"/>
      <c r="B29" s="629"/>
      <c r="C29" s="602">
        <f t="shared" si="5"/>
        <v>6</v>
      </c>
      <c r="D29" s="610">
        <f t="shared" si="8"/>
        <v>37</v>
      </c>
      <c r="E29" s="611"/>
      <c r="F29" s="625">
        <f t="shared" si="6"/>
        <v>0</v>
      </c>
      <c r="G29" s="613">
        <f t="shared" si="7"/>
        <v>6</v>
      </c>
      <c r="H29" s="610"/>
      <c r="I29" s="614"/>
      <c r="J29" s="616"/>
      <c r="K29" s="1438"/>
    </row>
    <row r="30" spans="1:13" ht="15" hidden="1" customHeight="1" x14ac:dyDescent="0.25">
      <c r="A30" s="630" t="s">
        <v>545</v>
      </c>
      <c r="B30" s="631"/>
      <c r="C30" s="632"/>
      <c r="D30" s="633"/>
      <c r="E30" s="634"/>
      <c r="F30" s="635"/>
      <c r="G30" s="636"/>
      <c r="H30" s="601"/>
      <c r="I30" s="601"/>
      <c r="J30" s="637"/>
      <c r="K30" s="1438"/>
    </row>
    <row r="31" spans="1:13" ht="15" hidden="1" customHeight="1" x14ac:dyDescent="0.2">
      <c r="A31" s="608" t="s">
        <v>546</v>
      </c>
      <c r="B31" s="629"/>
      <c r="C31" s="602">
        <f>+C9</f>
        <v>6</v>
      </c>
      <c r="D31" s="610">
        <f>+C10+I10</f>
        <v>37</v>
      </c>
      <c r="E31" s="611"/>
      <c r="F31" s="612">
        <f>C31*D31*E31</f>
        <v>0</v>
      </c>
      <c r="G31" s="613">
        <f t="shared" ref="G31:G33" si="9">$C$9</f>
        <v>6</v>
      </c>
      <c r="H31" s="610"/>
      <c r="I31" s="614"/>
      <c r="J31" s="616"/>
      <c r="K31" s="1438"/>
    </row>
    <row r="32" spans="1:13" ht="15" hidden="1" customHeight="1" x14ac:dyDescent="0.2">
      <c r="A32" s="608" t="s">
        <v>547</v>
      </c>
      <c r="B32" s="608"/>
      <c r="C32" s="613">
        <f t="shared" ref="C32" si="10">$C$9</f>
        <v>6</v>
      </c>
      <c r="D32" s="610">
        <v>1</v>
      </c>
      <c r="E32" s="611"/>
      <c r="F32" s="612"/>
      <c r="G32" s="613">
        <f t="shared" si="9"/>
        <v>6</v>
      </c>
      <c r="H32" s="610"/>
      <c r="I32" s="614"/>
      <c r="J32" s="616"/>
      <c r="K32" s="1438"/>
    </row>
    <row r="33" spans="1:11" ht="15" hidden="1" customHeight="1" x14ac:dyDescent="0.2">
      <c r="A33" s="608" t="s">
        <v>548</v>
      </c>
      <c r="B33" s="629"/>
      <c r="C33" s="602">
        <f>C9</f>
        <v>6</v>
      </c>
      <c r="D33" s="610">
        <f>C10+I10</f>
        <v>37</v>
      </c>
      <c r="E33" s="611"/>
      <c r="F33" s="612">
        <f>C33*D33*E33</f>
        <v>0</v>
      </c>
      <c r="G33" s="613">
        <f t="shared" si="9"/>
        <v>6</v>
      </c>
      <c r="H33" s="610"/>
      <c r="I33" s="614"/>
      <c r="J33" s="616"/>
      <c r="K33" s="1438"/>
    </row>
    <row r="34" spans="1:11" ht="15" hidden="1" customHeight="1" x14ac:dyDescent="0.25">
      <c r="A34" s="620" t="s">
        <v>3</v>
      </c>
      <c r="B34" s="638"/>
      <c r="C34" s="632"/>
      <c r="D34" s="633"/>
      <c r="E34" s="634"/>
      <c r="F34" s="625">
        <f>SUM(F31:F33)</f>
        <v>0</v>
      </c>
      <c r="G34" s="636"/>
      <c r="H34" s="601"/>
      <c r="I34" s="639"/>
      <c r="J34" s="616"/>
      <c r="K34" s="1438"/>
    </row>
    <row r="35" spans="1:11" ht="15" hidden="1" customHeight="1" x14ac:dyDescent="0.25">
      <c r="A35" s="630" t="s">
        <v>549</v>
      </c>
      <c r="B35" s="631"/>
      <c r="C35" s="632"/>
      <c r="D35" s="633"/>
      <c r="E35" s="634"/>
      <c r="F35" s="635"/>
      <c r="G35" s="636"/>
      <c r="H35" s="601"/>
      <c r="I35" s="601"/>
      <c r="J35" s="637"/>
      <c r="K35" s="1438"/>
    </row>
    <row r="36" spans="1:11" ht="15" hidden="1" customHeight="1" x14ac:dyDescent="0.2">
      <c r="A36" s="608" t="s">
        <v>550</v>
      </c>
      <c r="B36" s="608"/>
      <c r="C36" s="613">
        <f t="shared" ref="C36:C40" si="11">$C$9</f>
        <v>6</v>
      </c>
      <c r="D36" s="610">
        <v>1</v>
      </c>
      <c r="E36" s="611">
        <v>200</v>
      </c>
      <c r="F36" s="612">
        <v>400</v>
      </c>
      <c r="G36" s="613">
        <f t="shared" ref="G36:G39" si="12">$C$9</f>
        <v>6</v>
      </c>
      <c r="H36" s="610">
        <v>31</v>
      </c>
      <c r="I36" s="611"/>
      <c r="J36" s="612">
        <v>0</v>
      </c>
      <c r="K36" s="1438"/>
    </row>
    <row r="37" spans="1:11" ht="15" hidden="1" customHeight="1" x14ac:dyDescent="0.2">
      <c r="A37" s="608" t="s">
        <v>551</v>
      </c>
      <c r="B37" s="608"/>
      <c r="C37" s="613">
        <f t="shared" si="11"/>
        <v>6</v>
      </c>
      <c r="D37" s="610">
        <f>C14+I14</f>
        <v>0</v>
      </c>
      <c r="E37" s="611"/>
      <c r="F37" s="612">
        <f>C37*D37*E37</f>
        <v>0</v>
      </c>
      <c r="G37" s="613">
        <f t="shared" si="12"/>
        <v>6</v>
      </c>
      <c r="H37" s="610">
        <v>31</v>
      </c>
      <c r="I37" s="611"/>
      <c r="J37" s="612">
        <f>G37*H37*I37</f>
        <v>0</v>
      </c>
      <c r="K37" s="1438"/>
    </row>
    <row r="38" spans="1:11" ht="15" hidden="1" customHeight="1" x14ac:dyDescent="0.2">
      <c r="A38" s="608" t="s">
        <v>552</v>
      </c>
      <c r="B38" s="608"/>
      <c r="C38" s="613">
        <f t="shared" si="11"/>
        <v>6</v>
      </c>
      <c r="D38" s="610">
        <f>C15+I15</f>
        <v>6</v>
      </c>
      <c r="E38" s="611"/>
      <c r="F38" s="612">
        <f t="shared" ref="F38:F40" si="13">C38*D38*E38</f>
        <v>0</v>
      </c>
      <c r="G38" s="613">
        <f t="shared" si="12"/>
        <v>6</v>
      </c>
      <c r="H38" s="610">
        <v>31</v>
      </c>
      <c r="I38" s="611"/>
      <c r="J38" s="612">
        <f t="shared" ref="J38:J40" si="14">G38*H38*I38</f>
        <v>0</v>
      </c>
      <c r="K38" s="1438"/>
    </row>
    <row r="39" spans="1:11" ht="15" hidden="1" customHeight="1" x14ac:dyDescent="0.2">
      <c r="A39" s="608" t="s">
        <v>553</v>
      </c>
      <c r="B39" s="608"/>
      <c r="C39" s="613">
        <f t="shared" si="11"/>
        <v>6</v>
      </c>
      <c r="D39" s="610">
        <f>C16+I16</f>
        <v>6</v>
      </c>
      <c r="E39" s="611"/>
      <c r="F39" s="612">
        <f t="shared" si="13"/>
        <v>0</v>
      </c>
      <c r="G39" s="613">
        <f t="shared" si="12"/>
        <v>6</v>
      </c>
      <c r="H39" s="610">
        <v>31</v>
      </c>
      <c r="I39" s="611"/>
      <c r="J39" s="612">
        <f t="shared" si="14"/>
        <v>0</v>
      </c>
      <c r="K39" s="1438"/>
    </row>
    <row r="40" spans="1:11" ht="15" hidden="1" customHeight="1" x14ac:dyDescent="0.2">
      <c r="A40" s="608" t="s">
        <v>379</v>
      </c>
      <c r="B40" s="608"/>
      <c r="C40" s="613">
        <f t="shared" si="11"/>
        <v>6</v>
      </c>
      <c r="D40" s="610">
        <f>C17+I17</f>
        <v>6</v>
      </c>
      <c r="E40" s="611"/>
      <c r="F40" s="612">
        <f t="shared" si="13"/>
        <v>0</v>
      </c>
      <c r="G40" s="602" t="str">
        <f>G9</f>
        <v>Animateur</v>
      </c>
      <c r="H40" s="610">
        <v>31</v>
      </c>
      <c r="I40" s="611"/>
      <c r="J40" s="612" t="e">
        <f t="shared" si="14"/>
        <v>#VALUE!</v>
      </c>
      <c r="K40" s="1438"/>
    </row>
    <row r="41" spans="1:11" ht="15" customHeight="1" x14ac:dyDescent="0.25">
      <c r="A41" s="620" t="s">
        <v>3</v>
      </c>
      <c r="B41" s="638"/>
      <c r="C41" s="632"/>
      <c r="D41" s="633"/>
      <c r="E41" s="634"/>
      <c r="F41" s="625">
        <f>SUM(F36:F40)</f>
        <v>400</v>
      </c>
      <c r="G41" s="636"/>
      <c r="H41" s="601"/>
      <c r="I41" s="639"/>
      <c r="J41" s="616"/>
      <c r="K41" s="1438"/>
    </row>
    <row r="42" spans="1:11" ht="15" customHeight="1" x14ac:dyDescent="0.25">
      <c r="A42" s="1444" t="s">
        <v>554</v>
      </c>
      <c r="B42" s="1445"/>
      <c r="C42" s="1445"/>
      <c r="D42" s="1445"/>
      <c r="E42" s="1445"/>
      <c r="F42" s="1446"/>
      <c r="G42" s="636"/>
      <c r="H42" s="601"/>
      <c r="I42" s="601"/>
      <c r="J42" s="637"/>
      <c r="K42" s="1438"/>
    </row>
    <row r="43" spans="1:11" ht="15" customHeight="1" x14ac:dyDescent="0.2">
      <c r="A43" s="640" t="s">
        <v>188</v>
      </c>
      <c r="B43" s="641"/>
      <c r="C43" s="602">
        <f t="shared" ref="C43" si="15">$C$9</f>
        <v>6</v>
      </c>
      <c r="D43" s="610">
        <v>1</v>
      </c>
      <c r="E43" s="611">
        <v>200</v>
      </c>
      <c r="F43" s="612">
        <f t="shared" ref="F43:F44" si="16">C43*D43*E43</f>
        <v>1200</v>
      </c>
      <c r="G43" s="618"/>
      <c r="H43" s="610"/>
      <c r="I43" s="614"/>
      <c r="J43" s="612">
        <f t="shared" ref="J43:J44" si="17">G43*H43*I43</f>
        <v>0</v>
      </c>
      <c r="K43" s="1438"/>
    </row>
    <row r="44" spans="1:11" ht="15" customHeight="1" x14ac:dyDescent="0.2">
      <c r="A44" s="640" t="s">
        <v>544</v>
      </c>
      <c r="B44" s="641"/>
      <c r="C44" s="642">
        <f>C5+2</f>
        <v>2</v>
      </c>
      <c r="D44" s="610">
        <f>I1</f>
        <v>0</v>
      </c>
      <c r="E44" s="611"/>
      <c r="F44" s="612">
        <f t="shared" si="16"/>
        <v>0</v>
      </c>
      <c r="G44" s="618"/>
      <c r="H44" s="610"/>
      <c r="I44" s="614"/>
      <c r="J44" s="612">
        <f t="shared" si="17"/>
        <v>0</v>
      </c>
      <c r="K44" s="1438"/>
    </row>
    <row r="45" spans="1:11" ht="15" customHeight="1" x14ac:dyDescent="0.2">
      <c r="A45" s="640" t="s">
        <v>356</v>
      </c>
      <c r="B45" s="643"/>
      <c r="C45" s="644"/>
      <c r="D45" s="645"/>
      <c r="E45" s="646">
        <v>0.4</v>
      </c>
      <c r="F45" s="647">
        <f>(F44+F43)*E45</f>
        <v>480</v>
      </c>
      <c r="G45" s="644"/>
      <c r="H45" s="645"/>
      <c r="I45" s="646">
        <v>0.4</v>
      </c>
      <c r="J45" s="647">
        <f>(J44+J43)*I45</f>
        <v>0</v>
      </c>
      <c r="K45" s="1438"/>
    </row>
    <row r="46" spans="1:11" ht="15" customHeight="1" x14ac:dyDescent="0.25">
      <c r="A46" s="1444" t="s">
        <v>555</v>
      </c>
      <c r="B46" s="1445"/>
      <c r="C46" s="1445"/>
      <c r="D46" s="1445"/>
      <c r="E46" s="1445"/>
      <c r="F46" s="1446"/>
      <c r="G46" s="636"/>
      <c r="H46" s="601"/>
      <c r="I46" s="601"/>
      <c r="J46" s="637"/>
      <c r="K46" s="1438"/>
    </row>
    <row r="47" spans="1:11" ht="15" customHeight="1" x14ac:dyDescent="0.2">
      <c r="A47" s="640" t="s">
        <v>527</v>
      </c>
      <c r="B47" s="641"/>
      <c r="C47" s="602">
        <f t="shared" ref="C47:C52" si="18">$C$9</f>
        <v>6</v>
      </c>
      <c r="D47" s="610">
        <v>1</v>
      </c>
      <c r="E47" s="611">
        <v>50</v>
      </c>
      <c r="F47" s="612">
        <f t="shared" ref="F47:F51" si="19">C47*D47*E47</f>
        <v>300</v>
      </c>
      <c r="G47" s="618"/>
      <c r="H47" s="610"/>
      <c r="I47" s="614"/>
      <c r="J47" s="612">
        <f t="shared" ref="J47:J50" si="20">G47*H47*I47</f>
        <v>0</v>
      </c>
      <c r="K47" s="1438"/>
    </row>
    <row r="48" spans="1:11" ht="15" customHeight="1" x14ac:dyDescent="0.2">
      <c r="A48" s="640" t="s">
        <v>541</v>
      </c>
      <c r="B48" s="641"/>
      <c r="C48" s="602">
        <f t="shared" si="18"/>
        <v>6</v>
      </c>
      <c r="D48" s="610">
        <f>I5</f>
        <v>0</v>
      </c>
      <c r="E48" s="611"/>
      <c r="F48" s="612">
        <f t="shared" si="19"/>
        <v>0</v>
      </c>
      <c r="G48" s="618"/>
      <c r="H48" s="610"/>
      <c r="I48" s="614"/>
      <c r="J48" s="612">
        <f t="shared" si="20"/>
        <v>0</v>
      </c>
      <c r="K48" s="1438"/>
    </row>
    <row r="49" spans="1:11" ht="15" customHeight="1" x14ac:dyDescent="0.2">
      <c r="A49" s="640" t="s">
        <v>531</v>
      </c>
      <c r="B49" s="641"/>
      <c r="C49" s="602">
        <f t="shared" si="18"/>
        <v>6</v>
      </c>
      <c r="D49" s="610">
        <f>I6</f>
        <v>1</v>
      </c>
      <c r="E49" s="611"/>
      <c r="F49" s="612">
        <f t="shared" si="19"/>
        <v>0</v>
      </c>
      <c r="G49" s="618"/>
      <c r="H49" s="610"/>
      <c r="I49" s="614"/>
      <c r="J49" s="612">
        <f t="shared" si="20"/>
        <v>0</v>
      </c>
      <c r="K49" s="1438"/>
    </row>
    <row r="50" spans="1:11" ht="15" customHeight="1" x14ac:dyDescent="0.2">
      <c r="A50" s="640" t="s">
        <v>556</v>
      </c>
      <c r="B50" s="641"/>
      <c r="C50" s="602">
        <f t="shared" si="18"/>
        <v>6</v>
      </c>
      <c r="D50" s="610">
        <f>I7</f>
        <v>0</v>
      </c>
      <c r="E50" s="611"/>
      <c r="F50" s="612">
        <f t="shared" si="19"/>
        <v>0</v>
      </c>
      <c r="G50" s="618"/>
      <c r="H50" s="610"/>
      <c r="I50" s="614"/>
      <c r="J50" s="612">
        <f t="shared" si="20"/>
        <v>0</v>
      </c>
      <c r="K50" s="1438"/>
    </row>
    <row r="51" spans="1:11" ht="15" customHeight="1" x14ac:dyDescent="0.2">
      <c r="A51" s="640" t="s">
        <v>557</v>
      </c>
      <c r="B51" s="641"/>
      <c r="C51" s="602">
        <f t="shared" si="18"/>
        <v>6</v>
      </c>
      <c r="D51" s="610">
        <v>1</v>
      </c>
      <c r="E51" s="611"/>
      <c r="F51" s="612">
        <f t="shared" si="19"/>
        <v>0</v>
      </c>
      <c r="G51" s="618"/>
      <c r="H51" s="610"/>
      <c r="I51" s="614"/>
      <c r="J51" s="612">
        <f>M51</f>
        <v>0</v>
      </c>
      <c r="K51" s="1438"/>
    </row>
    <row r="52" spans="1:11" ht="15" customHeight="1" x14ac:dyDescent="0.2">
      <c r="A52" s="640" t="s">
        <v>544</v>
      </c>
      <c r="B52" s="641"/>
      <c r="C52" s="602">
        <f t="shared" si="18"/>
        <v>6</v>
      </c>
      <c r="D52" s="610">
        <f>I9</f>
        <v>5</v>
      </c>
      <c r="E52" s="611">
        <v>40</v>
      </c>
      <c r="F52" s="612">
        <f>C52*D52*E52</f>
        <v>1200</v>
      </c>
      <c r="G52" s="618"/>
      <c r="H52" s="610"/>
      <c r="I52" s="614"/>
      <c r="J52" s="612">
        <f>G52*H52*I52</f>
        <v>0</v>
      </c>
      <c r="K52" s="1438"/>
    </row>
    <row r="53" spans="1:11" ht="15" customHeight="1" x14ac:dyDescent="0.2">
      <c r="A53" s="648"/>
      <c r="B53" s="648"/>
      <c r="C53" s="632"/>
      <c r="D53" s="633"/>
      <c r="E53" s="649" t="s">
        <v>3</v>
      </c>
      <c r="F53" s="612">
        <f>SUM(F47:F52)</f>
        <v>1500</v>
      </c>
      <c r="G53" s="636"/>
      <c r="H53" s="633"/>
      <c r="I53" s="649" t="s">
        <v>3</v>
      </c>
      <c r="J53" s="612">
        <f>SUM(J47:J52)</f>
        <v>0</v>
      </c>
      <c r="K53" s="1438"/>
    </row>
    <row r="54" spans="1:11" ht="15" customHeight="1" x14ac:dyDescent="0.2">
      <c r="A54" s="608" t="s">
        <v>558</v>
      </c>
      <c r="B54" s="650"/>
      <c r="C54" s="632"/>
      <c r="D54" s="633"/>
      <c r="E54" s="646">
        <v>0.1</v>
      </c>
      <c r="F54" s="612">
        <f>F53*E54</f>
        <v>150</v>
      </c>
      <c r="G54" s="636"/>
      <c r="H54" s="633"/>
      <c r="I54" s="646">
        <f>E54</f>
        <v>0.1</v>
      </c>
      <c r="J54" s="612">
        <f>J53*I54</f>
        <v>0</v>
      </c>
      <c r="K54" s="1438"/>
    </row>
    <row r="55" spans="1:11" ht="15" customHeight="1" x14ac:dyDescent="0.25">
      <c r="A55" s="651"/>
      <c r="B55" s="601"/>
      <c r="C55" s="632"/>
      <c r="D55" s="633"/>
      <c r="E55" s="649" t="s">
        <v>3</v>
      </c>
      <c r="F55" s="612">
        <f>SUM(F53:F54)</f>
        <v>1650</v>
      </c>
      <c r="G55" s="636"/>
      <c r="H55" s="633"/>
      <c r="I55" s="649" t="s">
        <v>3</v>
      </c>
      <c r="J55" s="612">
        <f>SUM(J53:J54)</f>
        <v>0</v>
      </c>
      <c r="K55" s="1438"/>
    </row>
    <row r="56" spans="1:11" ht="15" customHeight="1" x14ac:dyDescent="0.2">
      <c r="A56" s="652" t="s">
        <v>559</v>
      </c>
      <c r="B56" s="653"/>
      <c r="C56" s="654"/>
      <c r="D56" s="655"/>
      <c r="E56" s="646">
        <v>0.3</v>
      </c>
      <c r="F56" s="612">
        <f>E56*F55</f>
        <v>495</v>
      </c>
      <c r="G56" s="656"/>
      <c r="H56" s="655"/>
      <c r="I56" s="646">
        <f>E56</f>
        <v>0.3</v>
      </c>
      <c r="J56" s="612">
        <f>I56*J55</f>
        <v>0</v>
      </c>
      <c r="K56" s="1438"/>
    </row>
    <row r="57" spans="1:11" ht="15" customHeight="1" x14ac:dyDescent="0.25">
      <c r="A57" s="651"/>
      <c r="B57" s="601"/>
      <c r="C57" s="632"/>
      <c r="D57" s="633"/>
      <c r="E57" s="649" t="s">
        <v>3</v>
      </c>
      <c r="F57" s="612">
        <f>SUM(F55:F56)</f>
        <v>2145</v>
      </c>
      <c r="G57" s="636"/>
      <c r="H57" s="633"/>
      <c r="I57" s="649" t="s">
        <v>3</v>
      </c>
      <c r="J57" s="612">
        <f>SUM(J55:J56)</f>
        <v>0</v>
      </c>
      <c r="K57" s="1438"/>
    </row>
    <row r="58" spans="1:11" ht="15" customHeight="1" x14ac:dyDescent="0.2">
      <c r="A58" s="657" t="s">
        <v>560</v>
      </c>
      <c r="B58" s="658"/>
      <c r="C58" s="654"/>
      <c r="D58" s="655"/>
      <c r="E58" s="659"/>
      <c r="F58" s="612">
        <f>E58*I10</f>
        <v>0</v>
      </c>
      <c r="G58" s="656"/>
      <c r="H58" s="655"/>
      <c r="I58" s="604"/>
      <c r="J58" s="612">
        <f>I58*M10</f>
        <v>0</v>
      </c>
      <c r="K58" s="1438"/>
    </row>
    <row r="59" spans="1:11" ht="15" customHeight="1" x14ac:dyDescent="0.25">
      <c r="A59" s="660" t="s">
        <v>3</v>
      </c>
      <c r="B59" s="661"/>
      <c r="C59" s="632"/>
      <c r="D59" s="633"/>
      <c r="E59" s="662"/>
      <c r="F59" s="625">
        <f>SUM(F57:F58)</f>
        <v>2145</v>
      </c>
      <c r="G59" s="636"/>
      <c r="H59" s="601"/>
      <c r="I59" s="639"/>
      <c r="J59" s="625">
        <f>SUM(J57:J58)</f>
        <v>0</v>
      </c>
      <c r="K59" s="1438"/>
    </row>
    <row r="60" spans="1:11" ht="15" customHeight="1" x14ac:dyDescent="0.25">
      <c r="A60" s="663" t="s">
        <v>534</v>
      </c>
      <c r="B60" s="664"/>
      <c r="C60" s="665"/>
      <c r="D60" s="666"/>
      <c r="E60" s="667"/>
      <c r="F60" s="625">
        <f>F34+F41+F59+F26+F25+F27+F28+F29</f>
        <v>3745</v>
      </c>
      <c r="G60" s="626"/>
      <c r="H60" s="627"/>
      <c r="I60" s="628"/>
      <c r="J60" s="625" t="e">
        <f>#REF!+#REF!+J34+J41+J59</f>
        <v>#REF!</v>
      </c>
      <c r="K60" s="1438"/>
    </row>
    <row r="61" spans="1:11" ht="18" customHeight="1" x14ac:dyDescent="0.25">
      <c r="A61" s="1447" t="s">
        <v>535</v>
      </c>
      <c r="B61" s="1448"/>
      <c r="C61" s="1441"/>
      <c r="D61" s="1441"/>
      <c r="E61" s="1441"/>
      <c r="F61" s="1441"/>
      <c r="G61" s="1441"/>
      <c r="H61" s="1441"/>
      <c r="I61" s="1441"/>
      <c r="J61" s="1441"/>
      <c r="K61" s="1438"/>
    </row>
    <row r="62" spans="1:11" ht="15" customHeight="1" x14ac:dyDescent="0.25">
      <c r="A62" s="630" t="s">
        <v>561</v>
      </c>
      <c r="B62" s="631"/>
      <c r="C62" s="632"/>
      <c r="D62" s="633"/>
      <c r="E62" s="601"/>
      <c r="F62" s="635"/>
      <c r="G62" s="636"/>
      <c r="H62" s="601"/>
      <c r="I62" s="601"/>
      <c r="J62" s="601"/>
      <c r="K62" s="1438"/>
    </row>
    <row r="63" spans="1:11" ht="15" customHeight="1" x14ac:dyDescent="0.2">
      <c r="A63" s="668" t="s">
        <v>562</v>
      </c>
      <c r="B63" s="669"/>
      <c r="C63" s="602">
        <v>1</v>
      </c>
      <c r="D63" s="610">
        <f>C10</f>
        <v>30</v>
      </c>
      <c r="E63" s="670">
        <v>20</v>
      </c>
      <c r="F63" s="612">
        <f t="shared" ref="F63:F65" si="21">C63*D63*E63</f>
        <v>600</v>
      </c>
      <c r="G63" s="613"/>
      <c r="H63" s="610"/>
      <c r="I63" s="671"/>
      <c r="J63" s="612">
        <f t="shared" ref="J63:J65" si="22">G63*H63*I63</f>
        <v>0</v>
      </c>
      <c r="K63" s="1438"/>
    </row>
    <row r="64" spans="1:11" ht="15" customHeight="1" x14ac:dyDescent="0.2">
      <c r="A64" s="668" t="s">
        <v>563</v>
      </c>
      <c r="B64" s="669"/>
      <c r="C64" s="602">
        <v>1</v>
      </c>
      <c r="D64" s="610">
        <f>SUM(I4:I5)</f>
        <v>1</v>
      </c>
      <c r="E64" s="670"/>
      <c r="F64" s="612">
        <f t="shared" si="21"/>
        <v>0</v>
      </c>
      <c r="G64" s="613"/>
      <c r="H64" s="610"/>
      <c r="I64" s="671"/>
      <c r="J64" s="612">
        <f t="shared" si="22"/>
        <v>0</v>
      </c>
      <c r="K64" s="1438"/>
    </row>
    <row r="65" spans="1:11" ht="15" customHeight="1" x14ac:dyDescent="0.2">
      <c r="A65" s="668" t="s">
        <v>564</v>
      </c>
      <c r="B65" s="669"/>
      <c r="C65" s="602">
        <v>1</v>
      </c>
      <c r="D65" s="610">
        <f>SUM(I7:I9)</f>
        <v>5</v>
      </c>
      <c r="E65" s="670">
        <v>0</v>
      </c>
      <c r="F65" s="612">
        <f t="shared" si="21"/>
        <v>0</v>
      </c>
      <c r="G65" s="613"/>
      <c r="H65" s="610"/>
      <c r="I65" s="671"/>
      <c r="J65" s="612">
        <f t="shared" si="22"/>
        <v>0</v>
      </c>
      <c r="K65" s="1438"/>
    </row>
    <row r="66" spans="1:11" ht="15" customHeight="1" x14ac:dyDescent="0.2">
      <c r="A66" s="620" t="s">
        <v>3</v>
      </c>
      <c r="B66" s="638"/>
      <c r="C66" s="632"/>
      <c r="D66" s="633"/>
      <c r="E66" s="634"/>
      <c r="F66" s="625">
        <f>SUM(F63:F65)</f>
        <v>600</v>
      </c>
      <c r="G66" s="636"/>
      <c r="H66" s="633"/>
      <c r="I66" s="634"/>
      <c r="J66" s="625">
        <f>SUM(J63:J65)</f>
        <v>0</v>
      </c>
      <c r="K66" s="1438"/>
    </row>
    <row r="67" spans="1:11" ht="15" hidden="1" customHeight="1" x14ac:dyDescent="0.2">
      <c r="A67" s="668" t="s">
        <v>565</v>
      </c>
      <c r="B67" s="669"/>
      <c r="C67" s="602">
        <f>C9</f>
        <v>6</v>
      </c>
      <c r="D67" s="610">
        <f>C10</f>
        <v>30</v>
      </c>
      <c r="E67" s="670"/>
      <c r="F67" s="612">
        <f t="shared" ref="F67:F69" si="23">C67*D67*E67</f>
        <v>0</v>
      </c>
      <c r="G67" s="613"/>
      <c r="H67" s="610"/>
      <c r="I67" s="671"/>
      <c r="J67" s="612">
        <f t="shared" ref="J67:J69" si="24">G67*H67*I67</f>
        <v>0</v>
      </c>
      <c r="K67" s="1438"/>
    </row>
    <row r="68" spans="1:11" ht="15" hidden="1" customHeight="1" x14ac:dyDescent="0.2">
      <c r="A68" s="668" t="s">
        <v>566</v>
      </c>
      <c r="B68" s="669"/>
      <c r="C68" s="602">
        <f>C9</f>
        <v>6</v>
      </c>
      <c r="D68" s="610">
        <f>C10</f>
        <v>30</v>
      </c>
      <c r="E68" s="670"/>
      <c r="F68" s="612">
        <f t="shared" si="23"/>
        <v>0</v>
      </c>
      <c r="G68" s="613"/>
      <c r="H68" s="610"/>
      <c r="I68" s="671"/>
      <c r="J68" s="612">
        <f t="shared" si="24"/>
        <v>0</v>
      </c>
      <c r="K68" s="1438"/>
    </row>
    <row r="69" spans="1:11" ht="15" hidden="1" customHeight="1" x14ac:dyDescent="0.2">
      <c r="A69" s="668" t="s">
        <v>488</v>
      </c>
      <c r="B69" s="669"/>
      <c r="C69" s="602">
        <f>C9</f>
        <v>6</v>
      </c>
      <c r="D69" s="610">
        <f>C10</f>
        <v>30</v>
      </c>
      <c r="E69" s="670"/>
      <c r="F69" s="612">
        <f t="shared" si="23"/>
        <v>0</v>
      </c>
      <c r="G69" s="613"/>
      <c r="H69" s="610"/>
      <c r="I69" s="671"/>
      <c r="J69" s="612">
        <f t="shared" si="24"/>
        <v>0</v>
      </c>
      <c r="K69" s="1438"/>
    </row>
    <row r="70" spans="1:11" ht="15" hidden="1" customHeight="1" x14ac:dyDescent="0.2">
      <c r="A70" s="668" t="s">
        <v>567</v>
      </c>
      <c r="B70" s="669"/>
      <c r="C70" s="602">
        <f>C9</f>
        <v>6</v>
      </c>
      <c r="D70" s="610">
        <f>C10</f>
        <v>30</v>
      </c>
      <c r="E70" s="670"/>
      <c r="F70" s="612">
        <f>D70*E70*C70</f>
        <v>0</v>
      </c>
      <c r="G70" s="613"/>
      <c r="H70" s="610"/>
      <c r="I70" s="671"/>
      <c r="J70" s="612">
        <f>H70*I70*G70</f>
        <v>0</v>
      </c>
      <c r="K70" s="1438"/>
    </row>
    <row r="71" spans="1:11" ht="15" customHeight="1" x14ac:dyDescent="0.2">
      <c r="A71" s="668" t="s">
        <v>568</v>
      </c>
      <c r="B71" s="669"/>
      <c r="C71" s="602"/>
      <c r="D71" s="610"/>
      <c r="E71" s="670"/>
      <c r="F71" s="612">
        <v>50</v>
      </c>
      <c r="G71" s="613"/>
      <c r="H71" s="610"/>
      <c r="I71" s="671"/>
      <c r="J71" s="612"/>
      <c r="K71" s="1438"/>
    </row>
    <row r="72" spans="1:11" ht="15" customHeight="1" x14ac:dyDescent="0.2">
      <c r="A72" s="668" t="s">
        <v>536</v>
      </c>
      <c r="B72" s="669"/>
      <c r="C72" s="602">
        <f>C9</f>
        <v>6</v>
      </c>
      <c r="D72" s="610">
        <f>C10</f>
        <v>30</v>
      </c>
      <c r="E72" s="670"/>
      <c r="F72" s="612">
        <f>F76*0.07</f>
        <v>672.00000000000011</v>
      </c>
      <c r="G72" s="613"/>
      <c r="H72" s="610"/>
      <c r="I72" s="671"/>
      <c r="J72" s="612">
        <f>J76*0.07</f>
        <v>672.00000000000011</v>
      </c>
      <c r="K72" s="1438"/>
    </row>
    <row r="73" spans="1:11" ht="15" customHeight="1" x14ac:dyDescent="0.25">
      <c r="A73" s="663" t="s">
        <v>537</v>
      </c>
      <c r="B73" s="664"/>
      <c r="C73" s="672"/>
      <c r="D73" s="673"/>
      <c r="E73" s="667"/>
      <c r="F73" s="625">
        <f>SUM(F66:F72)</f>
        <v>1322</v>
      </c>
      <c r="G73" s="673"/>
      <c r="H73" s="673"/>
      <c r="I73" s="667"/>
      <c r="J73" s="625">
        <f>SUM(J66:J72)</f>
        <v>672.00000000000011</v>
      </c>
      <c r="K73" s="1438"/>
    </row>
    <row r="74" spans="1:11" thickBot="1" x14ac:dyDescent="0.3">
      <c r="A74" s="674"/>
      <c r="B74" s="674"/>
      <c r="C74" s="674"/>
      <c r="D74" s="674"/>
      <c r="E74" s="601"/>
      <c r="F74" s="675" t="s">
        <v>538</v>
      </c>
      <c r="G74" s="601"/>
      <c r="H74" s="601"/>
      <c r="I74" s="601"/>
      <c r="J74" s="675" t="s">
        <v>569</v>
      </c>
      <c r="K74" s="1438"/>
    </row>
    <row r="75" spans="1:11" ht="16.5" customHeight="1" thickTop="1" thickBot="1" x14ac:dyDescent="0.3">
      <c r="A75" s="676" t="s">
        <v>240</v>
      </c>
      <c r="B75" s="677"/>
      <c r="C75" s="677"/>
      <c r="D75" s="678"/>
      <c r="E75" s="679"/>
      <c r="F75" s="680">
        <f>F73+F60+F22</f>
        <v>7265</v>
      </c>
      <c r="G75" s="601"/>
      <c r="H75" s="601"/>
      <c r="I75" s="601"/>
      <c r="J75" s="680" t="e">
        <f>J73+J60+J22</f>
        <v>#REF!</v>
      </c>
      <c r="K75" s="1438"/>
    </row>
    <row r="76" spans="1:11" ht="16.5" customHeight="1" thickTop="1" thickBot="1" x14ac:dyDescent="0.3">
      <c r="A76" s="681" t="s">
        <v>86</v>
      </c>
      <c r="B76" s="682"/>
      <c r="C76" s="682"/>
      <c r="D76" s="683"/>
      <c r="E76" s="684"/>
      <c r="F76" s="685">
        <f>C6*K8</f>
        <v>9600</v>
      </c>
      <c r="G76" s="601"/>
      <c r="H76" s="601"/>
      <c r="I76" s="601"/>
      <c r="J76" s="685">
        <f>F76</f>
        <v>9600</v>
      </c>
      <c r="K76" s="1438"/>
    </row>
    <row r="77" spans="1:11" ht="16.5" customHeight="1" thickTop="1" x14ac:dyDescent="0.25">
      <c r="A77" s="686" t="s">
        <v>245</v>
      </c>
      <c r="B77" s="687"/>
      <c r="C77" s="687"/>
      <c r="D77" s="688"/>
      <c r="E77" s="689"/>
      <c r="F77" s="690">
        <f>F76-F75</f>
        <v>2335</v>
      </c>
      <c r="G77" s="601"/>
      <c r="H77" s="601"/>
      <c r="I77" s="601"/>
      <c r="J77" s="690" t="e">
        <f>J76-J75</f>
        <v>#REF!</v>
      </c>
      <c r="K77" s="1438"/>
    </row>
    <row r="78" spans="1:11" ht="17.25" hidden="1" customHeight="1" x14ac:dyDescent="0.25">
      <c r="A78" s="691" t="s">
        <v>539</v>
      </c>
      <c r="B78" s="692"/>
      <c r="C78" s="693"/>
      <c r="D78" s="693"/>
      <c r="E78" s="693"/>
      <c r="F78" s="694">
        <v>0</v>
      </c>
      <c r="G78" s="662"/>
      <c r="H78" s="662"/>
      <c r="I78" s="662"/>
      <c r="J78" s="662"/>
      <c r="K78" s="662"/>
    </row>
    <row r="79" spans="1:11" hidden="1" thickBot="1" x14ac:dyDescent="0.3">
      <c r="A79" s="695" t="s">
        <v>3</v>
      </c>
      <c r="B79" s="696"/>
      <c r="C79" s="693"/>
      <c r="D79" s="693"/>
      <c r="E79" s="693"/>
      <c r="F79" s="697">
        <f>SUM(F77:F77)</f>
        <v>2335</v>
      </c>
      <c r="G79" s="662"/>
      <c r="H79" s="662"/>
      <c r="I79" s="662"/>
      <c r="J79" s="662"/>
      <c r="K79" s="662"/>
    </row>
    <row r="82" spans="6:6" ht="15.75" customHeight="1" x14ac:dyDescent="0.2">
      <c r="F82" s="698"/>
    </row>
  </sheetData>
  <mergeCells count="28">
    <mergeCell ref="A12:F12"/>
    <mergeCell ref="G12:J12"/>
    <mergeCell ref="K12:K77"/>
    <mergeCell ref="A14:J14"/>
    <mergeCell ref="A23:J23"/>
    <mergeCell ref="A24:J24"/>
    <mergeCell ref="A42:F42"/>
    <mergeCell ref="A46:F46"/>
    <mergeCell ref="A61:J61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M82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89" customWidth="1"/>
    <col min="3" max="4" width="5.42578125" style="589" customWidth="1"/>
    <col min="5" max="5" width="12" style="589" customWidth="1"/>
    <col min="6" max="6" width="15.140625" style="589" customWidth="1"/>
    <col min="7" max="7" width="5.42578125" style="589" customWidth="1"/>
    <col min="8" max="8" width="7.5703125" style="589" customWidth="1"/>
    <col min="9" max="9" width="10.28515625" style="589" customWidth="1"/>
    <col min="10" max="11" width="15.140625" style="589" customWidth="1"/>
    <col min="12" max="16384" width="16.5703125" style="589"/>
  </cols>
  <sheetData>
    <row r="1" spans="1:11" ht="25.5" customHeight="1" x14ac:dyDescent="0.35">
      <c r="A1" s="1407" t="s">
        <v>525</v>
      </c>
      <c r="B1" s="1407"/>
      <c r="C1" s="1407"/>
      <c r="D1" s="1407"/>
      <c r="E1" s="1407"/>
      <c r="F1" s="1407"/>
      <c r="G1" s="1407"/>
      <c r="H1" s="1407"/>
      <c r="I1" s="1407"/>
      <c r="J1" s="1407"/>
      <c r="K1" s="1407"/>
    </row>
    <row r="2" spans="1:11" ht="15" customHeight="1" x14ac:dyDescent="0.2">
      <c r="A2" s="1408" t="s">
        <v>183</v>
      </c>
      <c r="B2" s="1408"/>
      <c r="C2" s="1409"/>
      <c r="D2" s="1409"/>
      <c r="E2" s="1409"/>
      <c r="F2" s="1409"/>
      <c r="G2" s="1409"/>
      <c r="H2" s="1409"/>
      <c r="I2" s="1409"/>
      <c r="J2" s="1409"/>
      <c r="K2" s="1409"/>
    </row>
    <row r="3" spans="1:11" ht="15" x14ac:dyDescent="0.2">
      <c r="A3" s="590" t="s">
        <v>184</v>
      </c>
      <c r="B3" s="591"/>
      <c r="C3" s="1410" t="s">
        <v>540</v>
      </c>
      <c r="D3" s="1411"/>
      <c r="E3" s="1411"/>
      <c r="F3" s="1412"/>
      <c r="G3" s="1413" t="s">
        <v>186</v>
      </c>
      <c r="H3" s="1414"/>
      <c r="I3" s="1415"/>
      <c r="J3" s="1416" t="s">
        <v>187</v>
      </c>
      <c r="K3" s="1417"/>
    </row>
    <row r="4" spans="1:11" ht="15" customHeight="1" x14ac:dyDescent="0.2">
      <c r="A4" s="590" t="s">
        <v>188</v>
      </c>
      <c r="B4" s="591"/>
      <c r="C4" s="1402"/>
      <c r="D4" s="1403"/>
      <c r="E4" s="1403"/>
      <c r="F4" s="1404"/>
      <c r="G4" s="1405" t="s">
        <v>527</v>
      </c>
      <c r="H4" s="1406"/>
      <c r="I4" s="592">
        <v>1</v>
      </c>
      <c r="J4" s="593" t="s">
        <v>189</v>
      </c>
      <c r="K4" s="505">
        <v>10</v>
      </c>
    </row>
    <row r="5" spans="1:11" ht="15" customHeight="1" x14ac:dyDescent="0.2">
      <c r="A5" s="590" t="s">
        <v>528</v>
      </c>
      <c r="B5" s="591"/>
      <c r="C5" s="1402"/>
      <c r="D5" s="1403"/>
      <c r="E5" s="1403"/>
      <c r="F5" s="1404"/>
      <c r="G5" s="1405" t="s">
        <v>541</v>
      </c>
      <c r="H5" s="1406"/>
      <c r="I5" s="592">
        <v>1</v>
      </c>
      <c r="J5" s="593" t="s">
        <v>193</v>
      </c>
      <c r="K5" s="505">
        <v>10</v>
      </c>
    </row>
    <row r="6" spans="1:11" ht="15" customHeight="1" x14ac:dyDescent="0.2">
      <c r="A6" s="590" t="s">
        <v>530</v>
      </c>
      <c r="B6" s="591"/>
      <c r="C6" s="1418">
        <v>530</v>
      </c>
      <c r="D6" s="1419"/>
      <c r="E6" s="1419"/>
      <c r="F6" s="1420"/>
      <c r="G6" s="1405" t="s">
        <v>531</v>
      </c>
      <c r="H6" s="1406"/>
      <c r="I6" s="592"/>
      <c r="J6" s="593" t="s">
        <v>197</v>
      </c>
      <c r="K6" s="505">
        <v>10</v>
      </c>
    </row>
    <row r="7" spans="1:11" ht="15" customHeight="1" x14ac:dyDescent="0.2">
      <c r="A7" s="590" t="s">
        <v>198</v>
      </c>
      <c r="B7" s="591"/>
      <c r="C7" s="1421"/>
      <c r="D7" s="1422"/>
      <c r="E7" s="1422"/>
      <c r="F7" s="1423"/>
      <c r="G7" s="1405" t="s">
        <v>542</v>
      </c>
      <c r="H7" s="1406"/>
      <c r="I7" s="592"/>
      <c r="J7" s="593" t="s">
        <v>199</v>
      </c>
      <c r="K7" s="505"/>
    </row>
    <row r="8" spans="1:11" ht="15" customHeight="1" x14ac:dyDescent="0.2">
      <c r="A8" s="590" t="s">
        <v>201</v>
      </c>
      <c r="B8" s="591"/>
      <c r="C8" s="1421"/>
      <c r="D8" s="1422"/>
      <c r="E8" s="1422"/>
      <c r="F8" s="1423"/>
      <c r="G8" s="1405" t="s">
        <v>543</v>
      </c>
      <c r="H8" s="1406"/>
      <c r="I8" s="592"/>
      <c r="J8" s="594" t="s">
        <v>3</v>
      </c>
      <c r="K8" s="595">
        <f>SUM(K4:K7)</f>
        <v>30</v>
      </c>
    </row>
    <row r="9" spans="1:11" ht="15" customHeight="1" x14ac:dyDescent="0.2">
      <c r="A9" s="590" t="s">
        <v>203</v>
      </c>
      <c r="B9" s="591"/>
      <c r="C9" s="1424">
        <v>14</v>
      </c>
      <c r="D9" s="1425"/>
      <c r="E9" s="1425"/>
      <c r="F9" s="1426"/>
      <c r="G9" s="1405" t="s">
        <v>544</v>
      </c>
      <c r="H9" s="1406"/>
      <c r="I9" s="592">
        <v>6</v>
      </c>
      <c r="J9" s="596"/>
      <c r="K9" s="597"/>
    </row>
    <row r="10" spans="1:11" ht="15" customHeight="1" x14ac:dyDescent="0.2">
      <c r="A10" s="590" t="s">
        <v>204</v>
      </c>
      <c r="B10" s="591"/>
      <c r="C10" s="1427">
        <f>K8</f>
        <v>30</v>
      </c>
      <c r="D10" s="1428"/>
      <c r="E10" s="1428"/>
      <c r="F10" s="1429"/>
      <c r="G10" s="1430" t="s">
        <v>3</v>
      </c>
      <c r="H10" s="1431"/>
      <c r="I10" s="598">
        <f>SUM(I4:I9)</f>
        <v>8</v>
      </c>
      <c r="J10" s="599" t="s">
        <v>205</v>
      </c>
      <c r="K10" s="600"/>
    </row>
    <row r="11" spans="1:11" thickBot="1" x14ac:dyDescent="0.3">
      <c r="A11" s="601"/>
      <c r="B11" s="601"/>
      <c r="C11" s="601"/>
      <c r="D11" s="601"/>
      <c r="E11" s="601"/>
      <c r="F11" s="601"/>
      <c r="G11" s="601"/>
      <c r="H11" s="601"/>
      <c r="I11" s="601"/>
      <c r="J11" s="601"/>
      <c r="K11" s="601"/>
    </row>
    <row r="12" spans="1:11" ht="15" x14ac:dyDescent="0.2">
      <c r="A12" s="1432" t="s">
        <v>206</v>
      </c>
      <c r="B12" s="1432"/>
      <c r="C12" s="1432"/>
      <c r="D12" s="1432"/>
      <c r="E12" s="1432"/>
      <c r="F12" s="1433"/>
      <c r="G12" s="1434" t="s">
        <v>207</v>
      </c>
      <c r="H12" s="1435"/>
      <c r="I12" s="1435"/>
      <c r="J12" s="1436"/>
      <c r="K12" s="1437"/>
    </row>
    <row r="13" spans="1:11" ht="15" customHeight="1" x14ac:dyDescent="0.25">
      <c r="A13" s="601"/>
      <c r="B13" s="601"/>
      <c r="C13" s="602" t="s">
        <v>208</v>
      </c>
      <c r="D13" s="603" t="s">
        <v>209</v>
      </c>
      <c r="E13" s="604" t="s">
        <v>210</v>
      </c>
      <c r="F13" s="605" t="s">
        <v>211</v>
      </c>
      <c r="G13" s="606" t="s">
        <v>208</v>
      </c>
      <c r="H13" s="603" t="s">
        <v>209</v>
      </c>
      <c r="I13" s="604" t="s">
        <v>210</v>
      </c>
      <c r="J13" s="607" t="s">
        <v>211</v>
      </c>
      <c r="K13" s="1438"/>
    </row>
    <row r="14" spans="1:11" ht="18.75" customHeight="1" x14ac:dyDescent="0.3">
      <c r="A14" s="1439" t="s">
        <v>532</v>
      </c>
      <c r="B14" s="1440"/>
      <c r="C14" s="1441"/>
      <c r="D14" s="1441"/>
      <c r="E14" s="1441"/>
      <c r="F14" s="1441"/>
      <c r="G14" s="1441"/>
      <c r="H14" s="1441"/>
      <c r="I14" s="1441"/>
      <c r="J14" s="1441"/>
      <c r="K14" s="1438"/>
    </row>
    <row r="15" spans="1:11" ht="15" customHeight="1" x14ac:dyDescent="0.2">
      <c r="A15" s="608" t="s">
        <v>215</v>
      </c>
      <c r="B15" s="609" t="s">
        <v>106</v>
      </c>
      <c r="C15" s="602">
        <f>C9</f>
        <v>14</v>
      </c>
      <c r="D15" s="610">
        <f>C10+I10</f>
        <v>38</v>
      </c>
      <c r="E15" s="611">
        <v>7</v>
      </c>
      <c r="F15" s="612">
        <f t="shared" ref="F15:F18" si="0">C15*D15*E15</f>
        <v>3724</v>
      </c>
      <c r="G15" s="613">
        <f>$C$9</f>
        <v>14</v>
      </c>
      <c r="H15" s="610"/>
      <c r="I15" s="614"/>
      <c r="J15" s="615"/>
      <c r="K15" s="1438"/>
    </row>
    <row r="16" spans="1:11" ht="15" customHeight="1" x14ac:dyDescent="0.2">
      <c r="A16" s="608" t="s">
        <v>216</v>
      </c>
      <c r="B16" s="609" t="s">
        <v>107</v>
      </c>
      <c r="C16" s="602">
        <f>$C$9</f>
        <v>14</v>
      </c>
      <c r="D16" s="610">
        <f>$C$10+$I$10</f>
        <v>38</v>
      </c>
      <c r="E16" s="611">
        <v>0.2</v>
      </c>
      <c r="F16" s="612">
        <v>50</v>
      </c>
      <c r="G16" s="613">
        <f t="shared" ref="G16:G21" si="1">$C$9</f>
        <v>14</v>
      </c>
      <c r="H16" s="610"/>
      <c r="I16" s="614"/>
      <c r="J16" s="616"/>
      <c r="K16" s="1438"/>
    </row>
    <row r="17" spans="1:13" ht="15" customHeight="1" x14ac:dyDescent="0.2">
      <c r="A17" s="608" t="s">
        <v>217</v>
      </c>
      <c r="B17" s="609" t="s">
        <v>120</v>
      </c>
      <c r="C17" s="602">
        <f t="shared" ref="C17:C19" si="2">$C$9</f>
        <v>14</v>
      </c>
      <c r="D17" s="610">
        <f t="shared" ref="D17:D19" si="3">$C$10+$I$10</f>
        <v>38</v>
      </c>
      <c r="E17" s="611">
        <v>1</v>
      </c>
      <c r="F17" s="612">
        <f t="shared" si="0"/>
        <v>532</v>
      </c>
      <c r="G17" s="613">
        <f t="shared" si="1"/>
        <v>14</v>
      </c>
      <c r="H17" s="610"/>
      <c r="I17" s="614"/>
      <c r="J17" s="616"/>
      <c r="K17" s="1438"/>
    </row>
    <row r="18" spans="1:13" ht="15" customHeight="1" x14ac:dyDescent="0.2">
      <c r="A18" s="608" t="s">
        <v>218</v>
      </c>
      <c r="B18" s="609" t="s">
        <v>107</v>
      </c>
      <c r="C18" s="602">
        <f t="shared" si="2"/>
        <v>14</v>
      </c>
      <c r="D18" s="610">
        <f t="shared" si="3"/>
        <v>38</v>
      </c>
      <c r="E18" s="611">
        <v>1</v>
      </c>
      <c r="F18" s="612">
        <f t="shared" si="0"/>
        <v>532</v>
      </c>
      <c r="G18" s="613">
        <f t="shared" si="1"/>
        <v>14</v>
      </c>
      <c r="H18" s="610"/>
      <c r="I18" s="614"/>
      <c r="J18" s="616"/>
      <c r="K18" s="1438"/>
    </row>
    <row r="19" spans="1:13" ht="15" customHeight="1" thickBot="1" x14ac:dyDescent="0.25">
      <c r="A19" s="608" t="s">
        <v>219</v>
      </c>
      <c r="B19" s="609" t="s">
        <v>108</v>
      </c>
      <c r="C19" s="602">
        <f t="shared" si="2"/>
        <v>14</v>
      </c>
      <c r="D19" s="610">
        <f t="shared" si="3"/>
        <v>38</v>
      </c>
      <c r="E19" s="617"/>
      <c r="F19" s="612">
        <v>200</v>
      </c>
      <c r="G19" s="613">
        <f t="shared" si="1"/>
        <v>14</v>
      </c>
      <c r="H19" s="610"/>
      <c r="I19" s="618"/>
      <c r="J19" s="616"/>
      <c r="K19" s="1438"/>
    </row>
    <row r="20" spans="1:13" ht="15" customHeight="1" x14ac:dyDescent="0.2">
      <c r="A20" s="608" t="s">
        <v>220</v>
      </c>
      <c r="B20" s="619" t="s">
        <v>116</v>
      </c>
      <c r="C20" s="602">
        <v>8</v>
      </c>
      <c r="D20" s="610">
        <f>C10</f>
        <v>30</v>
      </c>
      <c r="E20" s="611"/>
      <c r="F20" s="612">
        <f t="shared" ref="F20" si="4">C20*D20*E20</f>
        <v>0</v>
      </c>
      <c r="G20" s="613">
        <f t="shared" si="1"/>
        <v>14</v>
      </c>
      <c r="H20" s="610"/>
      <c r="I20" s="614"/>
      <c r="J20" s="616"/>
      <c r="K20" s="1438"/>
    </row>
    <row r="21" spans="1:13" ht="15" customHeight="1" x14ac:dyDescent="0.2">
      <c r="A21" s="608" t="s">
        <v>221</v>
      </c>
      <c r="B21" s="609" t="s">
        <v>110</v>
      </c>
      <c r="C21" s="602">
        <f>C9</f>
        <v>14</v>
      </c>
      <c r="D21" s="610">
        <f>C10+I10</f>
        <v>38</v>
      </c>
      <c r="E21" s="611"/>
      <c r="F21" s="612">
        <v>50</v>
      </c>
      <c r="G21" s="613">
        <f t="shared" si="1"/>
        <v>14</v>
      </c>
      <c r="H21" s="610"/>
      <c r="I21" s="614"/>
      <c r="J21" s="616"/>
      <c r="K21" s="1438"/>
    </row>
    <row r="22" spans="1:13" ht="15" customHeight="1" x14ac:dyDescent="0.25">
      <c r="A22" s="620" t="s">
        <v>3</v>
      </c>
      <c r="B22" s="621"/>
      <c r="C22" s="622"/>
      <c r="D22" s="623"/>
      <c r="E22" s="624"/>
      <c r="F22" s="625">
        <f>SUM(F15:F21)</f>
        <v>5088</v>
      </c>
      <c r="G22" s="626"/>
      <c r="H22" s="627"/>
      <c r="I22" s="628"/>
      <c r="J22" s="616"/>
      <c r="K22" s="1438"/>
      <c r="M22" s="541"/>
    </row>
    <row r="23" spans="1:13" ht="18.75" customHeight="1" x14ac:dyDescent="0.3">
      <c r="A23" s="1439" t="s">
        <v>223</v>
      </c>
      <c r="B23" s="1440"/>
      <c r="C23" s="1441"/>
      <c r="D23" s="1441"/>
      <c r="E23" s="1441"/>
      <c r="F23" s="1441"/>
      <c r="G23" s="1441"/>
      <c r="H23" s="1441"/>
      <c r="I23" s="1441"/>
      <c r="J23" s="1441"/>
      <c r="K23" s="1438"/>
    </row>
    <row r="24" spans="1:13" ht="18" customHeight="1" x14ac:dyDescent="0.25">
      <c r="A24" s="1442" t="s">
        <v>224</v>
      </c>
      <c r="B24" s="1443"/>
      <c r="C24" s="1409"/>
      <c r="D24" s="1409"/>
      <c r="E24" s="1409"/>
      <c r="F24" s="1409"/>
      <c r="G24" s="1409"/>
      <c r="H24" s="1409"/>
      <c r="I24" s="1409"/>
      <c r="J24" s="1409"/>
      <c r="K24" s="1438"/>
    </row>
    <row r="25" spans="1:13" ht="18" customHeight="1" x14ac:dyDescent="0.2">
      <c r="A25" s="608" t="s">
        <v>384</v>
      </c>
      <c r="B25" s="629"/>
      <c r="C25" s="602">
        <f t="shared" ref="C25:C29" si="5">$C$9</f>
        <v>14</v>
      </c>
      <c r="D25" s="610">
        <v>1</v>
      </c>
      <c r="E25" s="611"/>
      <c r="F25" s="625">
        <v>2000</v>
      </c>
      <c r="G25" s="613">
        <f t="shared" ref="G25:G29" si="6">$C$9</f>
        <v>14</v>
      </c>
      <c r="H25" s="610"/>
      <c r="I25" s="614"/>
      <c r="J25" s="616"/>
      <c r="K25" s="1438"/>
    </row>
    <row r="26" spans="1:13" ht="18" customHeight="1" x14ac:dyDescent="0.2">
      <c r="A26" s="608"/>
      <c r="B26" s="629"/>
      <c r="C26" s="602">
        <f t="shared" si="5"/>
        <v>14</v>
      </c>
      <c r="D26" s="610">
        <v>1</v>
      </c>
      <c r="E26" s="611"/>
      <c r="F26" s="625">
        <f t="shared" ref="F26:F29" si="7">C26*D26*E26</f>
        <v>0</v>
      </c>
      <c r="G26" s="613">
        <f t="shared" si="6"/>
        <v>14</v>
      </c>
      <c r="H26" s="610"/>
      <c r="I26" s="614"/>
      <c r="J26" s="616"/>
      <c r="K26" s="1438"/>
    </row>
    <row r="27" spans="1:13" ht="18" customHeight="1" x14ac:dyDescent="0.2">
      <c r="A27" s="608"/>
      <c r="B27" s="629"/>
      <c r="C27" s="602"/>
      <c r="D27" s="610"/>
      <c r="E27" s="611"/>
      <c r="F27" s="625">
        <f t="shared" si="7"/>
        <v>0</v>
      </c>
      <c r="G27" s="613">
        <f t="shared" si="6"/>
        <v>14</v>
      </c>
      <c r="H27" s="610"/>
      <c r="I27" s="614"/>
      <c r="J27" s="616"/>
      <c r="K27" s="1438"/>
    </row>
    <row r="28" spans="1:13" ht="18" customHeight="1" x14ac:dyDescent="0.2">
      <c r="A28" s="608"/>
      <c r="B28" s="629"/>
      <c r="C28" s="602">
        <f t="shared" si="5"/>
        <v>14</v>
      </c>
      <c r="D28" s="610">
        <f t="shared" ref="D28:D29" si="8">$C$10+$I$10</f>
        <v>38</v>
      </c>
      <c r="E28" s="611"/>
      <c r="F28" s="625">
        <f t="shared" si="7"/>
        <v>0</v>
      </c>
      <c r="G28" s="613">
        <f t="shared" si="6"/>
        <v>14</v>
      </c>
      <c r="H28" s="610"/>
      <c r="I28" s="614"/>
      <c r="J28" s="616"/>
      <c r="K28" s="1438"/>
    </row>
    <row r="29" spans="1:13" ht="18" customHeight="1" x14ac:dyDescent="0.2">
      <c r="A29" s="608"/>
      <c r="B29" s="629"/>
      <c r="C29" s="602">
        <f t="shared" si="5"/>
        <v>14</v>
      </c>
      <c r="D29" s="610">
        <f t="shared" si="8"/>
        <v>38</v>
      </c>
      <c r="E29" s="611"/>
      <c r="F29" s="625">
        <f t="shared" si="7"/>
        <v>0</v>
      </c>
      <c r="G29" s="613">
        <f t="shared" si="6"/>
        <v>14</v>
      </c>
      <c r="H29" s="610"/>
      <c r="I29" s="614"/>
      <c r="J29" s="616"/>
      <c r="K29" s="1438"/>
    </row>
    <row r="30" spans="1:13" ht="15" hidden="1" customHeight="1" x14ac:dyDescent="0.25">
      <c r="A30" s="630" t="s">
        <v>545</v>
      </c>
      <c r="B30" s="631"/>
      <c r="C30" s="632"/>
      <c r="D30" s="633"/>
      <c r="E30" s="634"/>
      <c r="F30" s="635"/>
      <c r="G30" s="636"/>
      <c r="H30" s="601"/>
      <c r="I30" s="601"/>
      <c r="J30" s="637"/>
      <c r="K30" s="1438"/>
    </row>
    <row r="31" spans="1:13" ht="15" hidden="1" customHeight="1" x14ac:dyDescent="0.2">
      <c r="A31" s="608" t="s">
        <v>546</v>
      </c>
      <c r="B31" s="629"/>
      <c r="C31" s="602">
        <f>+C9</f>
        <v>14</v>
      </c>
      <c r="D31" s="610">
        <f>+C10+I10</f>
        <v>38</v>
      </c>
      <c r="E31" s="611"/>
      <c r="F31" s="612">
        <f>C31*D31*E31</f>
        <v>0</v>
      </c>
      <c r="G31" s="613">
        <f t="shared" ref="G31:G33" si="9">$C$9</f>
        <v>14</v>
      </c>
      <c r="H31" s="610"/>
      <c r="I31" s="614"/>
      <c r="J31" s="616"/>
      <c r="K31" s="1438"/>
    </row>
    <row r="32" spans="1:13" ht="15" hidden="1" customHeight="1" x14ac:dyDescent="0.2">
      <c r="A32" s="608" t="s">
        <v>547</v>
      </c>
      <c r="B32" s="608"/>
      <c r="C32" s="613">
        <f t="shared" ref="C32" si="10">$C$9</f>
        <v>14</v>
      </c>
      <c r="D32" s="610">
        <v>1</v>
      </c>
      <c r="E32" s="611"/>
      <c r="F32" s="612"/>
      <c r="G32" s="613">
        <f t="shared" si="9"/>
        <v>14</v>
      </c>
      <c r="H32" s="610"/>
      <c r="I32" s="614"/>
      <c r="J32" s="616"/>
      <c r="K32" s="1438"/>
    </row>
    <row r="33" spans="1:11" ht="15" hidden="1" customHeight="1" x14ac:dyDescent="0.2">
      <c r="A33" s="608" t="s">
        <v>548</v>
      </c>
      <c r="B33" s="629"/>
      <c r="C33" s="602">
        <f>C9</f>
        <v>14</v>
      </c>
      <c r="D33" s="610">
        <f>C10+I10</f>
        <v>38</v>
      </c>
      <c r="E33" s="611"/>
      <c r="F33" s="612">
        <f>C33*D33*E33</f>
        <v>0</v>
      </c>
      <c r="G33" s="613">
        <f t="shared" si="9"/>
        <v>14</v>
      </c>
      <c r="H33" s="610"/>
      <c r="I33" s="614"/>
      <c r="J33" s="616"/>
      <c r="K33" s="1438"/>
    </row>
    <row r="34" spans="1:11" ht="15" hidden="1" customHeight="1" x14ac:dyDescent="0.25">
      <c r="A34" s="620" t="s">
        <v>3</v>
      </c>
      <c r="B34" s="638"/>
      <c r="C34" s="632"/>
      <c r="D34" s="633"/>
      <c r="E34" s="634"/>
      <c r="F34" s="625">
        <f>SUM(F31:F33)</f>
        <v>0</v>
      </c>
      <c r="G34" s="636"/>
      <c r="H34" s="601"/>
      <c r="I34" s="639"/>
      <c r="J34" s="616"/>
      <c r="K34" s="1438"/>
    </row>
    <row r="35" spans="1:11" ht="15" hidden="1" customHeight="1" x14ac:dyDescent="0.25">
      <c r="A35" s="630" t="s">
        <v>549</v>
      </c>
      <c r="B35" s="631"/>
      <c r="C35" s="632"/>
      <c r="D35" s="633"/>
      <c r="E35" s="634"/>
      <c r="F35" s="635"/>
      <c r="G35" s="636"/>
      <c r="H35" s="601"/>
      <c r="I35" s="601"/>
      <c r="J35" s="637"/>
      <c r="K35" s="1438"/>
    </row>
    <row r="36" spans="1:11" ht="15" hidden="1" customHeight="1" x14ac:dyDescent="0.2">
      <c r="A36" s="608" t="s">
        <v>550</v>
      </c>
      <c r="B36" s="608"/>
      <c r="C36" s="613">
        <f t="shared" ref="C36:C40" si="11">$C$9</f>
        <v>14</v>
      </c>
      <c r="D36" s="610">
        <v>1</v>
      </c>
      <c r="E36" s="611">
        <v>200</v>
      </c>
      <c r="F36" s="612">
        <v>400</v>
      </c>
      <c r="G36" s="613">
        <f t="shared" ref="G36:G39" si="12">$C$9</f>
        <v>14</v>
      </c>
      <c r="H36" s="610">
        <v>31</v>
      </c>
      <c r="I36" s="611"/>
      <c r="J36" s="612">
        <v>0</v>
      </c>
      <c r="K36" s="1438"/>
    </row>
    <row r="37" spans="1:11" ht="15" hidden="1" customHeight="1" x14ac:dyDescent="0.2">
      <c r="A37" s="608" t="s">
        <v>551</v>
      </c>
      <c r="B37" s="608"/>
      <c r="C37" s="613">
        <f t="shared" si="11"/>
        <v>14</v>
      </c>
      <c r="D37" s="610">
        <f>C14+I14</f>
        <v>0</v>
      </c>
      <c r="E37" s="611"/>
      <c r="F37" s="612">
        <f>C37*D37*E37</f>
        <v>0</v>
      </c>
      <c r="G37" s="613">
        <f t="shared" si="12"/>
        <v>14</v>
      </c>
      <c r="H37" s="610">
        <v>31</v>
      </c>
      <c r="I37" s="611"/>
      <c r="J37" s="612">
        <f>G37*H37*I37</f>
        <v>0</v>
      </c>
      <c r="K37" s="1438"/>
    </row>
    <row r="38" spans="1:11" ht="15" hidden="1" customHeight="1" x14ac:dyDescent="0.2">
      <c r="A38" s="608" t="s">
        <v>552</v>
      </c>
      <c r="B38" s="608"/>
      <c r="C38" s="613">
        <f t="shared" si="11"/>
        <v>14</v>
      </c>
      <c r="D38" s="610">
        <f>C15+I15</f>
        <v>14</v>
      </c>
      <c r="E38" s="611"/>
      <c r="F38" s="612">
        <f t="shared" ref="F38:F40" si="13">C38*D38*E38</f>
        <v>0</v>
      </c>
      <c r="G38" s="613">
        <f t="shared" si="12"/>
        <v>14</v>
      </c>
      <c r="H38" s="610">
        <v>31</v>
      </c>
      <c r="I38" s="611"/>
      <c r="J38" s="612">
        <f t="shared" ref="J38:J40" si="14">G38*H38*I38</f>
        <v>0</v>
      </c>
      <c r="K38" s="1438"/>
    </row>
    <row r="39" spans="1:11" ht="15" hidden="1" customHeight="1" x14ac:dyDescent="0.2">
      <c r="A39" s="608" t="s">
        <v>553</v>
      </c>
      <c r="B39" s="608"/>
      <c r="C39" s="613">
        <f t="shared" si="11"/>
        <v>14</v>
      </c>
      <c r="D39" s="610">
        <f>C16+I16</f>
        <v>14</v>
      </c>
      <c r="E39" s="611"/>
      <c r="F39" s="612">
        <f t="shared" si="13"/>
        <v>0</v>
      </c>
      <c r="G39" s="613">
        <f t="shared" si="12"/>
        <v>14</v>
      </c>
      <c r="H39" s="610">
        <v>31</v>
      </c>
      <c r="I39" s="611"/>
      <c r="J39" s="612">
        <f t="shared" si="14"/>
        <v>0</v>
      </c>
      <c r="K39" s="1438"/>
    </row>
    <row r="40" spans="1:11" ht="15" hidden="1" customHeight="1" x14ac:dyDescent="0.2">
      <c r="A40" s="608" t="s">
        <v>379</v>
      </c>
      <c r="B40" s="608"/>
      <c r="C40" s="613">
        <f t="shared" si="11"/>
        <v>14</v>
      </c>
      <c r="D40" s="610">
        <f>C17+I17</f>
        <v>14</v>
      </c>
      <c r="E40" s="611"/>
      <c r="F40" s="612">
        <f t="shared" si="13"/>
        <v>0</v>
      </c>
      <c r="G40" s="602" t="str">
        <f>G9</f>
        <v>Animateur</v>
      </c>
      <c r="H40" s="610">
        <v>31</v>
      </c>
      <c r="I40" s="611"/>
      <c r="J40" s="612" t="e">
        <f t="shared" si="14"/>
        <v>#VALUE!</v>
      </c>
      <c r="K40" s="1438"/>
    </row>
    <row r="41" spans="1:11" ht="15" customHeight="1" x14ac:dyDescent="0.25">
      <c r="A41" s="620" t="s">
        <v>3</v>
      </c>
      <c r="B41" s="638"/>
      <c r="C41" s="632"/>
      <c r="D41" s="633"/>
      <c r="E41" s="634"/>
      <c r="F41" s="625">
        <f>SUM(F36:F40)</f>
        <v>400</v>
      </c>
      <c r="G41" s="636"/>
      <c r="H41" s="601"/>
      <c r="I41" s="639"/>
      <c r="J41" s="616"/>
      <c r="K41" s="1438"/>
    </row>
    <row r="42" spans="1:11" ht="15" customHeight="1" x14ac:dyDescent="0.25">
      <c r="A42" s="1444" t="s">
        <v>554</v>
      </c>
      <c r="B42" s="1445"/>
      <c r="C42" s="1445"/>
      <c r="D42" s="1445"/>
      <c r="E42" s="1445"/>
      <c r="F42" s="1446"/>
      <c r="G42" s="636"/>
      <c r="H42" s="601"/>
      <c r="I42" s="601"/>
      <c r="J42" s="637"/>
      <c r="K42" s="1438"/>
    </row>
    <row r="43" spans="1:11" ht="15" customHeight="1" x14ac:dyDescent="0.2">
      <c r="A43" s="640" t="s">
        <v>188</v>
      </c>
      <c r="B43" s="641"/>
      <c r="C43" s="602">
        <f t="shared" ref="C43" si="15">$C$9</f>
        <v>14</v>
      </c>
      <c r="D43" s="610">
        <v>1</v>
      </c>
      <c r="E43" s="611">
        <v>200</v>
      </c>
      <c r="F43" s="612">
        <f t="shared" ref="F43:F44" si="16">C43*D43*E43</f>
        <v>2800</v>
      </c>
      <c r="G43" s="618"/>
      <c r="H43" s="610"/>
      <c r="I43" s="614"/>
      <c r="J43" s="612">
        <f t="shared" ref="J43:J44" si="17">G43*H43*I43</f>
        <v>0</v>
      </c>
      <c r="K43" s="1438"/>
    </row>
    <row r="44" spans="1:11" ht="15" customHeight="1" x14ac:dyDescent="0.2">
      <c r="A44" s="640" t="s">
        <v>544</v>
      </c>
      <c r="B44" s="641"/>
      <c r="C44" s="642">
        <f>C5+2</f>
        <v>2</v>
      </c>
      <c r="D44" s="610">
        <f>I1</f>
        <v>0</v>
      </c>
      <c r="E44" s="611"/>
      <c r="F44" s="612">
        <f t="shared" si="16"/>
        <v>0</v>
      </c>
      <c r="G44" s="618"/>
      <c r="H44" s="610"/>
      <c r="I44" s="614"/>
      <c r="J44" s="612">
        <f t="shared" si="17"/>
        <v>0</v>
      </c>
      <c r="K44" s="1438"/>
    </row>
    <row r="45" spans="1:11" ht="15" customHeight="1" x14ac:dyDescent="0.2">
      <c r="A45" s="640" t="s">
        <v>356</v>
      </c>
      <c r="B45" s="643"/>
      <c r="C45" s="644"/>
      <c r="D45" s="645"/>
      <c r="E45" s="646">
        <v>0.4</v>
      </c>
      <c r="F45" s="647">
        <f>(F44+F43)*E45</f>
        <v>1120</v>
      </c>
      <c r="G45" s="644"/>
      <c r="H45" s="645"/>
      <c r="I45" s="646">
        <v>0.4</v>
      </c>
      <c r="J45" s="647">
        <f>(J44+J43)*I45</f>
        <v>0</v>
      </c>
      <c r="K45" s="1438"/>
    </row>
    <row r="46" spans="1:11" ht="15" customHeight="1" x14ac:dyDescent="0.25">
      <c r="A46" s="1444" t="s">
        <v>555</v>
      </c>
      <c r="B46" s="1445"/>
      <c r="C46" s="1445"/>
      <c r="D46" s="1445"/>
      <c r="E46" s="1445"/>
      <c r="F46" s="1446"/>
      <c r="G46" s="636"/>
      <c r="H46" s="601"/>
      <c r="I46" s="601"/>
      <c r="J46" s="637"/>
      <c r="K46" s="1438"/>
    </row>
    <row r="47" spans="1:11" ht="15" customHeight="1" x14ac:dyDescent="0.2">
      <c r="A47" s="640" t="s">
        <v>527</v>
      </c>
      <c r="B47" s="641"/>
      <c r="C47" s="602">
        <f t="shared" ref="C47:C52" si="18">$C$9</f>
        <v>14</v>
      </c>
      <c r="D47" s="610">
        <v>1</v>
      </c>
      <c r="E47" s="611">
        <v>50</v>
      </c>
      <c r="F47" s="612">
        <f t="shared" ref="F47:F51" si="19">C47*D47*E47</f>
        <v>700</v>
      </c>
      <c r="G47" s="618"/>
      <c r="H47" s="610"/>
      <c r="I47" s="614"/>
      <c r="J47" s="612">
        <f t="shared" ref="J47:J50" si="20">G47*H47*I47</f>
        <v>0</v>
      </c>
      <c r="K47" s="1438"/>
    </row>
    <row r="48" spans="1:11" ht="15" customHeight="1" x14ac:dyDescent="0.2">
      <c r="A48" s="640" t="s">
        <v>541</v>
      </c>
      <c r="B48" s="641"/>
      <c r="C48" s="602">
        <f t="shared" si="18"/>
        <v>14</v>
      </c>
      <c r="D48" s="610">
        <f>I5</f>
        <v>1</v>
      </c>
      <c r="E48" s="611"/>
      <c r="F48" s="612">
        <f t="shared" si="19"/>
        <v>0</v>
      </c>
      <c r="G48" s="618"/>
      <c r="H48" s="610"/>
      <c r="I48" s="614"/>
      <c r="J48" s="612">
        <f t="shared" si="20"/>
        <v>0</v>
      </c>
      <c r="K48" s="1438"/>
    </row>
    <row r="49" spans="1:11" ht="15" customHeight="1" x14ac:dyDescent="0.2">
      <c r="A49" s="640" t="s">
        <v>531</v>
      </c>
      <c r="B49" s="641"/>
      <c r="C49" s="602">
        <f t="shared" si="18"/>
        <v>14</v>
      </c>
      <c r="D49" s="610">
        <f>I6</f>
        <v>0</v>
      </c>
      <c r="E49" s="611"/>
      <c r="F49" s="612">
        <f t="shared" si="19"/>
        <v>0</v>
      </c>
      <c r="G49" s="618"/>
      <c r="H49" s="610"/>
      <c r="I49" s="614"/>
      <c r="J49" s="612">
        <f t="shared" si="20"/>
        <v>0</v>
      </c>
      <c r="K49" s="1438"/>
    </row>
    <row r="50" spans="1:11" ht="15" customHeight="1" x14ac:dyDescent="0.2">
      <c r="A50" s="640" t="s">
        <v>556</v>
      </c>
      <c r="B50" s="641"/>
      <c r="C50" s="602">
        <f t="shared" si="18"/>
        <v>14</v>
      </c>
      <c r="D50" s="610">
        <f>I7</f>
        <v>0</v>
      </c>
      <c r="E50" s="611"/>
      <c r="F50" s="612">
        <f t="shared" si="19"/>
        <v>0</v>
      </c>
      <c r="G50" s="618"/>
      <c r="H50" s="610"/>
      <c r="I50" s="614"/>
      <c r="J50" s="612">
        <f t="shared" si="20"/>
        <v>0</v>
      </c>
      <c r="K50" s="1438"/>
    </row>
    <row r="51" spans="1:11" ht="15" customHeight="1" x14ac:dyDescent="0.2">
      <c r="A51" s="640" t="s">
        <v>557</v>
      </c>
      <c r="B51" s="641"/>
      <c r="C51" s="602">
        <f t="shared" si="18"/>
        <v>14</v>
      </c>
      <c r="D51" s="610">
        <v>1</v>
      </c>
      <c r="E51" s="611"/>
      <c r="F51" s="612">
        <f t="shared" si="19"/>
        <v>0</v>
      </c>
      <c r="G51" s="618"/>
      <c r="H51" s="610"/>
      <c r="I51" s="614"/>
      <c r="J51" s="612">
        <f>M51</f>
        <v>0</v>
      </c>
      <c r="K51" s="1438"/>
    </row>
    <row r="52" spans="1:11" ht="15" customHeight="1" x14ac:dyDescent="0.2">
      <c r="A52" s="640" t="s">
        <v>544</v>
      </c>
      <c r="B52" s="641"/>
      <c r="C52" s="602">
        <f t="shared" si="18"/>
        <v>14</v>
      </c>
      <c r="D52" s="610">
        <f>I9</f>
        <v>6</v>
      </c>
      <c r="E52" s="611">
        <v>40</v>
      </c>
      <c r="F52" s="612">
        <f>C52*D52*E52</f>
        <v>3360</v>
      </c>
      <c r="G52" s="618"/>
      <c r="H52" s="610"/>
      <c r="I52" s="614"/>
      <c r="J52" s="612">
        <f>G52*H52*I52</f>
        <v>0</v>
      </c>
      <c r="K52" s="1438"/>
    </row>
    <row r="53" spans="1:11" ht="15" customHeight="1" x14ac:dyDescent="0.2">
      <c r="A53" s="648"/>
      <c r="B53" s="648"/>
      <c r="C53" s="632"/>
      <c r="D53" s="633"/>
      <c r="E53" s="649" t="s">
        <v>3</v>
      </c>
      <c r="F53" s="612">
        <f>SUM(F47:F52)</f>
        <v>4060</v>
      </c>
      <c r="G53" s="636"/>
      <c r="H53" s="633"/>
      <c r="I53" s="649" t="s">
        <v>3</v>
      </c>
      <c r="J53" s="612">
        <f>SUM(J47:J52)</f>
        <v>0</v>
      </c>
      <c r="K53" s="1438"/>
    </row>
    <row r="54" spans="1:11" ht="15" customHeight="1" x14ac:dyDescent="0.2">
      <c r="A54" s="608" t="s">
        <v>558</v>
      </c>
      <c r="B54" s="650"/>
      <c r="C54" s="632"/>
      <c r="D54" s="633"/>
      <c r="E54" s="646">
        <v>0.1</v>
      </c>
      <c r="F54" s="612">
        <f>F53*E54</f>
        <v>406</v>
      </c>
      <c r="G54" s="636"/>
      <c r="H54" s="633"/>
      <c r="I54" s="646">
        <f>E54</f>
        <v>0.1</v>
      </c>
      <c r="J54" s="612">
        <f>J53*I54</f>
        <v>0</v>
      </c>
      <c r="K54" s="1438"/>
    </row>
    <row r="55" spans="1:11" ht="15" customHeight="1" x14ac:dyDescent="0.25">
      <c r="A55" s="651"/>
      <c r="B55" s="601"/>
      <c r="C55" s="632"/>
      <c r="D55" s="633"/>
      <c r="E55" s="649" t="s">
        <v>3</v>
      </c>
      <c r="F55" s="612">
        <f>SUM(F53:F54)</f>
        <v>4466</v>
      </c>
      <c r="G55" s="636"/>
      <c r="H55" s="633"/>
      <c r="I55" s="649" t="s">
        <v>3</v>
      </c>
      <c r="J55" s="612">
        <f>SUM(J53:J54)</f>
        <v>0</v>
      </c>
      <c r="K55" s="1438"/>
    </row>
    <row r="56" spans="1:11" ht="15" customHeight="1" x14ac:dyDescent="0.2">
      <c r="A56" s="652" t="s">
        <v>559</v>
      </c>
      <c r="B56" s="653"/>
      <c r="C56" s="654"/>
      <c r="D56" s="655"/>
      <c r="E56" s="646">
        <v>0.3</v>
      </c>
      <c r="F56" s="612">
        <f>E56*F55</f>
        <v>1339.8</v>
      </c>
      <c r="G56" s="656"/>
      <c r="H56" s="655"/>
      <c r="I56" s="646">
        <f>E56</f>
        <v>0.3</v>
      </c>
      <c r="J56" s="612">
        <f>I56*J55</f>
        <v>0</v>
      </c>
      <c r="K56" s="1438"/>
    </row>
    <row r="57" spans="1:11" ht="15" customHeight="1" x14ac:dyDescent="0.25">
      <c r="A57" s="651"/>
      <c r="B57" s="601"/>
      <c r="C57" s="632"/>
      <c r="D57" s="633"/>
      <c r="E57" s="649" t="s">
        <v>3</v>
      </c>
      <c r="F57" s="612">
        <f>SUM(F55:F56)</f>
        <v>5805.8</v>
      </c>
      <c r="G57" s="636"/>
      <c r="H57" s="633"/>
      <c r="I57" s="649" t="s">
        <v>3</v>
      </c>
      <c r="J57" s="612">
        <f>SUM(J55:J56)</f>
        <v>0</v>
      </c>
      <c r="K57" s="1438"/>
    </row>
    <row r="58" spans="1:11" ht="15" customHeight="1" x14ac:dyDescent="0.2">
      <c r="A58" s="657" t="s">
        <v>560</v>
      </c>
      <c r="B58" s="658"/>
      <c r="C58" s="654"/>
      <c r="D58" s="655"/>
      <c r="E58" s="659"/>
      <c r="F58" s="612">
        <f>E58*I10</f>
        <v>0</v>
      </c>
      <c r="G58" s="656"/>
      <c r="H58" s="655"/>
      <c r="I58" s="604"/>
      <c r="J58" s="612">
        <f>I58*M10</f>
        <v>0</v>
      </c>
      <c r="K58" s="1438"/>
    </row>
    <row r="59" spans="1:11" ht="15" customHeight="1" x14ac:dyDescent="0.25">
      <c r="A59" s="660" t="s">
        <v>3</v>
      </c>
      <c r="B59" s="661"/>
      <c r="C59" s="632"/>
      <c r="D59" s="633"/>
      <c r="E59" s="662"/>
      <c r="F59" s="625">
        <f>SUM(F57:F58)</f>
        <v>5805.8</v>
      </c>
      <c r="G59" s="636"/>
      <c r="H59" s="601"/>
      <c r="I59" s="639"/>
      <c r="J59" s="625">
        <f>SUM(J57:J58)</f>
        <v>0</v>
      </c>
      <c r="K59" s="1438"/>
    </row>
    <row r="60" spans="1:11" ht="15" customHeight="1" x14ac:dyDescent="0.25">
      <c r="A60" s="663" t="s">
        <v>534</v>
      </c>
      <c r="B60" s="664"/>
      <c r="C60" s="665"/>
      <c r="D60" s="666"/>
      <c r="E60" s="667"/>
      <c r="F60" s="625">
        <f>F34+F41+F59+F26+F25+F27+F28+F29</f>
        <v>8205.7999999999993</v>
      </c>
      <c r="G60" s="626"/>
      <c r="H60" s="627"/>
      <c r="I60" s="628"/>
      <c r="J60" s="625" t="e">
        <f>#REF!+#REF!+J34+J41+J59</f>
        <v>#REF!</v>
      </c>
      <c r="K60" s="1438"/>
    </row>
    <row r="61" spans="1:11" ht="18" customHeight="1" x14ac:dyDescent="0.25">
      <c r="A61" s="1447" t="s">
        <v>535</v>
      </c>
      <c r="B61" s="1448"/>
      <c r="C61" s="1441"/>
      <c r="D61" s="1441"/>
      <c r="E61" s="1441"/>
      <c r="F61" s="1441"/>
      <c r="G61" s="1441"/>
      <c r="H61" s="1441"/>
      <c r="I61" s="1441"/>
      <c r="J61" s="1441"/>
      <c r="K61" s="1438"/>
    </row>
    <row r="62" spans="1:11" ht="15" customHeight="1" x14ac:dyDescent="0.25">
      <c r="A62" s="630" t="s">
        <v>561</v>
      </c>
      <c r="B62" s="631"/>
      <c r="C62" s="632"/>
      <c r="D62" s="633"/>
      <c r="E62" s="601"/>
      <c r="F62" s="635"/>
      <c r="G62" s="636"/>
      <c r="H62" s="601"/>
      <c r="I62" s="601"/>
      <c r="J62" s="601"/>
      <c r="K62" s="1438"/>
    </row>
    <row r="63" spans="1:11" ht="15" customHeight="1" x14ac:dyDescent="0.2">
      <c r="A63" s="668" t="s">
        <v>562</v>
      </c>
      <c r="B63" s="669"/>
      <c r="C63" s="602">
        <v>1</v>
      </c>
      <c r="D63" s="610">
        <f>C10</f>
        <v>30</v>
      </c>
      <c r="E63" s="670">
        <v>20</v>
      </c>
      <c r="F63" s="612">
        <f t="shared" ref="F63:F65" si="21">C63*D63*E63</f>
        <v>600</v>
      </c>
      <c r="G63" s="613"/>
      <c r="H63" s="610"/>
      <c r="I63" s="671"/>
      <c r="J63" s="612">
        <f t="shared" ref="J63:J65" si="22">G63*H63*I63</f>
        <v>0</v>
      </c>
      <c r="K63" s="1438"/>
    </row>
    <row r="64" spans="1:11" ht="15" customHeight="1" x14ac:dyDescent="0.2">
      <c r="A64" s="668" t="s">
        <v>563</v>
      </c>
      <c r="B64" s="669"/>
      <c r="C64" s="602">
        <v>1</v>
      </c>
      <c r="D64" s="610">
        <f>SUM(I4:I5)</f>
        <v>2</v>
      </c>
      <c r="E64" s="670"/>
      <c r="F64" s="612">
        <f t="shared" si="21"/>
        <v>0</v>
      </c>
      <c r="G64" s="613"/>
      <c r="H64" s="610"/>
      <c r="I64" s="671"/>
      <c r="J64" s="612">
        <f t="shared" si="22"/>
        <v>0</v>
      </c>
      <c r="K64" s="1438"/>
    </row>
    <row r="65" spans="1:11" ht="15" customHeight="1" x14ac:dyDescent="0.2">
      <c r="A65" s="668" t="s">
        <v>564</v>
      </c>
      <c r="B65" s="669"/>
      <c r="C65" s="602">
        <v>1</v>
      </c>
      <c r="D65" s="610">
        <f>SUM(I7:I9)</f>
        <v>6</v>
      </c>
      <c r="E65" s="670">
        <v>0</v>
      </c>
      <c r="F65" s="612">
        <f t="shared" si="21"/>
        <v>0</v>
      </c>
      <c r="G65" s="613"/>
      <c r="H65" s="610"/>
      <c r="I65" s="671"/>
      <c r="J65" s="612">
        <f t="shared" si="22"/>
        <v>0</v>
      </c>
      <c r="K65" s="1438"/>
    </row>
    <row r="66" spans="1:11" ht="15" customHeight="1" x14ac:dyDescent="0.2">
      <c r="A66" s="620" t="s">
        <v>3</v>
      </c>
      <c r="B66" s="638"/>
      <c r="C66" s="632"/>
      <c r="D66" s="633"/>
      <c r="E66" s="634"/>
      <c r="F66" s="625">
        <f>SUM(F63:F65)</f>
        <v>600</v>
      </c>
      <c r="G66" s="636"/>
      <c r="H66" s="633"/>
      <c r="I66" s="634"/>
      <c r="J66" s="625">
        <f>SUM(J63:J65)</f>
        <v>0</v>
      </c>
      <c r="K66" s="1438"/>
    </row>
    <row r="67" spans="1:11" ht="15" hidden="1" customHeight="1" x14ac:dyDescent="0.2">
      <c r="A67" s="668" t="s">
        <v>565</v>
      </c>
      <c r="B67" s="669"/>
      <c r="C67" s="602">
        <f>C9</f>
        <v>14</v>
      </c>
      <c r="D67" s="610">
        <f>C10</f>
        <v>30</v>
      </c>
      <c r="E67" s="670"/>
      <c r="F67" s="612">
        <f t="shared" ref="F67:F69" si="23">C67*D67*E67</f>
        <v>0</v>
      </c>
      <c r="G67" s="613"/>
      <c r="H67" s="610"/>
      <c r="I67" s="671"/>
      <c r="J67" s="612">
        <f t="shared" ref="J67:J69" si="24">G67*H67*I67</f>
        <v>0</v>
      </c>
      <c r="K67" s="1438"/>
    </row>
    <row r="68" spans="1:11" ht="15" hidden="1" customHeight="1" x14ac:dyDescent="0.2">
      <c r="A68" s="668" t="s">
        <v>566</v>
      </c>
      <c r="B68" s="669"/>
      <c r="C68" s="602">
        <f>C9</f>
        <v>14</v>
      </c>
      <c r="D68" s="610">
        <f>C10</f>
        <v>30</v>
      </c>
      <c r="E68" s="670"/>
      <c r="F68" s="612">
        <f t="shared" si="23"/>
        <v>0</v>
      </c>
      <c r="G68" s="613"/>
      <c r="H68" s="610"/>
      <c r="I68" s="671"/>
      <c r="J68" s="612">
        <f t="shared" si="24"/>
        <v>0</v>
      </c>
      <c r="K68" s="1438"/>
    </row>
    <row r="69" spans="1:11" ht="15" hidden="1" customHeight="1" x14ac:dyDescent="0.2">
      <c r="A69" s="668" t="s">
        <v>488</v>
      </c>
      <c r="B69" s="669"/>
      <c r="C69" s="602">
        <f>C9</f>
        <v>14</v>
      </c>
      <c r="D69" s="610">
        <f>C10</f>
        <v>30</v>
      </c>
      <c r="E69" s="670"/>
      <c r="F69" s="612">
        <f t="shared" si="23"/>
        <v>0</v>
      </c>
      <c r="G69" s="613"/>
      <c r="H69" s="610"/>
      <c r="I69" s="671"/>
      <c r="J69" s="612">
        <f t="shared" si="24"/>
        <v>0</v>
      </c>
      <c r="K69" s="1438"/>
    </row>
    <row r="70" spans="1:11" ht="15" hidden="1" customHeight="1" x14ac:dyDescent="0.2">
      <c r="A70" s="668" t="s">
        <v>567</v>
      </c>
      <c r="B70" s="669"/>
      <c r="C70" s="602">
        <f>C9</f>
        <v>14</v>
      </c>
      <c r="D70" s="610">
        <f>C10</f>
        <v>30</v>
      </c>
      <c r="E70" s="670"/>
      <c r="F70" s="612">
        <f>D70*E70*C70</f>
        <v>0</v>
      </c>
      <c r="G70" s="613"/>
      <c r="H70" s="610"/>
      <c r="I70" s="671"/>
      <c r="J70" s="612">
        <f>H70*I70*G70</f>
        <v>0</v>
      </c>
      <c r="K70" s="1438"/>
    </row>
    <row r="71" spans="1:11" ht="15" customHeight="1" x14ac:dyDescent="0.2">
      <c r="A71" s="668" t="s">
        <v>568</v>
      </c>
      <c r="B71" s="669"/>
      <c r="C71" s="602"/>
      <c r="D71" s="610"/>
      <c r="E71" s="670"/>
      <c r="F71" s="612">
        <v>50</v>
      </c>
      <c r="G71" s="613"/>
      <c r="H71" s="610"/>
      <c r="I71" s="671"/>
      <c r="J71" s="612"/>
      <c r="K71" s="1438"/>
    </row>
    <row r="72" spans="1:11" ht="15" customHeight="1" x14ac:dyDescent="0.2">
      <c r="A72" s="668" t="s">
        <v>536</v>
      </c>
      <c r="B72" s="669"/>
      <c r="C72" s="602">
        <f>C9</f>
        <v>14</v>
      </c>
      <c r="D72" s="610">
        <f>C10</f>
        <v>30</v>
      </c>
      <c r="E72" s="670"/>
      <c r="F72" s="612">
        <f>F76*0.07</f>
        <v>1113</v>
      </c>
      <c r="G72" s="613"/>
      <c r="H72" s="610"/>
      <c r="I72" s="671"/>
      <c r="J72" s="612">
        <f>J76*0.07</f>
        <v>1113</v>
      </c>
      <c r="K72" s="1438"/>
    </row>
    <row r="73" spans="1:11" ht="15" customHeight="1" x14ac:dyDescent="0.25">
      <c r="A73" s="663" t="s">
        <v>537</v>
      </c>
      <c r="B73" s="664"/>
      <c r="C73" s="672"/>
      <c r="D73" s="673"/>
      <c r="E73" s="667"/>
      <c r="F73" s="625">
        <f>SUM(F66:F72)</f>
        <v>1763</v>
      </c>
      <c r="G73" s="673"/>
      <c r="H73" s="673"/>
      <c r="I73" s="667"/>
      <c r="J73" s="625">
        <f>SUM(J66:J72)</f>
        <v>1113</v>
      </c>
      <c r="K73" s="1438"/>
    </row>
    <row r="74" spans="1:11" thickBot="1" x14ac:dyDescent="0.3">
      <c r="A74" s="674"/>
      <c r="B74" s="674"/>
      <c r="C74" s="674"/>
      <c r="D74" s="674"/>
      <c r="E74" s="601"/>
      <c r="F74" s="675" t="s">
        <v>538</v>
      </c>
      <c r="G74" s="601"/>
      <c r="H74" s="601"/>
      <c r="I74" s="601"/>
      <c r="J74" s="675" t="s">
        <v>569</v>
      </c>
      <c r="K74" s="1438"/>
    </row>
    <row r="75" spans="1:11" ht="16.5" customHeight="1" thickTop="1" thickBot="1" x14ac:dyDescent="0.3">
      <c r="A75" s="676" t="s">
        <v>240</v>
      </c>
      <c r="B75" s="677"/>
      <c r="C75" s="677"/>
      <c r="D75" s="678"/>
      <c r="E75" s="679"/>
      <c r="F75" s="680">
        <f>F73+F60+F22</f>
        <v>15056.8</v>
      </c>
      <c r="G75" s="601"/>
      <c r="H75" s="601"/>
      <c r="I75" s="601"/>
      <c r="J75" s="680" t="e">
        <f>J73+J60+J22</f>
        <v>#REF!</v>
      </c>
      <c r="K75" s="1438"/>
    </row>
    <row r="76" spans="1:11" ht="16.5" customHeight="1" thickTop="1" thickBot="1" x14ac:dyDescent="0.3">
      <c r="A76" s="681" t="s">
        <v>86</v>
      </c>
      <c r="B76" s="682"/>
      <c r="C76" s="682"/>
      <c r="D76" s="683"/>
      <c r="E76" s="684"/>
      <c r="F76" s="685">
        <f>C6*K8</f>
        <v>15900</v>
      </c>
      <c r="G76" s="601"/>
      <c r="H76" s="601"/>
      <c r="I76" s="601"/>
      <c r="J76" s="685">
        <f>F76</f>
        <v>15900</v>
      </c>
      <c r="K76" s="1438"/>
    </row>
    <row r="77" spans="1:11" ht="16.5" customHeight="1" thickTop="1" x14ac:dyDescent="0.25">
      <c r="A77" s="686" t="s">
        <v>245</v>
      </c>
      <c r="B77" s="687"/>
      <c r="C77" s="687"/>
      <c r="D77" s="688"/>
      <c r="E77" s="689"/>
      <c r="F77" s="690">
        <f>F76-F75</f>
        <v>843.20000000000073</v>
      </c>
      <c r="G77" s="601"/>
      <c r="H77" s="601"/>
      <c r="I77" s="601"/>
      <c r="J77" s="690" t="e">
        <f>J76-J75</f>
        <v>#REF!</v>
      </c>
      <c r="K77" s="1438"/>
    </row>
    <row r="78" spans="1:11" ht="17.25" hidden="1" customHeight="1" x14ac:dyDescent="0.25">
      <c r="A78" s="691" t="s">
        <v>539</v>
      </c>
      <c r="B78" s="692"/>
      <c r="C78" s="693"/>
      <c r="D78" s="693"/>
      <c r="E78" s="693"/>
      <c r="F78" s="694">
        <v>0</v>
      </c>
      <c r="G78" s="662"/>
      <c r="H78" s="662"/>
      <c r="I78" s="662"/>
      <c r="J78" s="662"/>
      <c r="K78" s="662"/>
    </row>
    <row r="79" spans="1:11" hidden="1" thickBot="1" x14ac:dyDescent="0.3">
      <c r="A79" s="695" t="s">
        <v>3</v>
      </c>
      <c r="B79" s="696"/>
      <c r="C79" s="693"/>
      <c r="D79" s="693"/>
      <c r="E79" s="693"/>
      <c r="F79" s="697">
        <f>SUM(F77:F77)</f>
        <v>843.20000000000073</v>
      </c>
      <c r="G79" s="662"/>
      <c r="H79" s="662"/>
      <c r="I79" s="662"/>
      <c r="J79" s="662"/>
      <c r="K79" s="662"/>
    </row>
    <row r="82" spans="6:6" ht="15.75" customHeight="1" x14ac:dyDescent="0.2">
      <c r="F82" s="698"/>
    </row>
  </sheetData>
  <mergeCells count="28">
    <mergeCell ref="A12:F12"/>
    <mergeCell ref="G12:J12"/>
    <mergeCell ref="K12:K77"/>
    <mergeCell ref="A14:J14"/>
    <mergeCell ref="A23:J23"/>
    <mergeCell ref="A24:J24"/>
    <mergeCell ref="A42:F42"/>
    <mergeCell ref="A46:F46"/>
    <mergeCell ref="A61:J61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M44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00" customWidth="1"/>
    <col min="3" max="4" width="5.42578125" style="500" customWidth="1"/>
    <col min="5" max="5" width="12" style="500" customWidth="1"/>
    <col min="6" max="6" width="15.140625" style="500" customWidth="1"/>
    <col min="7" max="7" width="5.42578125" style="500" customWidth="1"/>
    <col min="8" max="8" width="7.5703125" style="500" customWidth="1"/>
    <col min="9" max="9" width="10.28515625" style="500" customWidth="1"/>
    <col min="10" max="11" width="15.140625" style="500" customWidth="1"/>
    <col min="12" max="16384" width="16.5703125" style="500"/>
  </cols>
  <sheetData>
    <row r="1" spans="1:12" ht="25.5" customHeight="1" x14ac:dyDescent="0.35">
      <c r="A1" s="1353" t="s">
        <v>525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2" ht="15" customHeight="1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2" ht="15" x14ac:dyDescent="0.2">
      <c r="A3" s="501" t="s">
        <v>184</v>
      </c>
      <c r="B3" s="502"/>
      <c r="C3" s="1366" t="s">
        <v>376</v>
      </c>
      <c r="D3" s="1367"/>
      <c r="E3" s="1367"/>
      <c r="F3" s="1368"/>
      <c r="G3" s="1369" t="s">
        <v>186</v>
      </c>
      <c r="H3" s="1370"/>
      <c r="I3" s="1371"/>
      <c r="J3" s="1372" t="s">
        <v>187</v>
      </c>
      <c r="K3" s="1373"/>
    </row>
    <row r="4" spans="1:12" ht="15" customHeight="1" x14ac:dyDescent="0.2">
      <c r="A4" s="501" t="s">
        <v>188</v>
      </c>
      <c r="B4" s="502"/>
      <c r="C4" s="1361" t="s">
        <v>526</v>
      </c>
      <c r="D4" s="1362"/>
      <c r="E4" s="1362"/>
      <c r="F4" s="1363"/>
      <c r="G4" s="1364" t="s">
        <v>527</v>
      </c>
      <c r="H4" s="1365"/>
      <c r="I4" s="503"/>
      <c r="J4" s="504" t="s">
        <v>570</v>
      </c>
      <c r="K4" s="505"/>
    </row>
    <row r="5" spans="1:12" ht="15" customHeight="1" x14ac:dyDescent="0.2">
      <c r="A5" s="501" t="s">
        <v>528</v>
      </c>
      <c r="B5" s="502"/>
      <c r="C5" s="1361" t="s">
        <v>571</v>
      </c>
      <c r="D5" s="1362"/>
      <c r="E5" s="1362"/>
      <c r="F5" s="1363"/>
      <c r="G5" s="1364" t="s">
        <v>529</v>
      </c>
      <c r="H5" s="1365"/>
      <c r="I5" s="503"/>
      <c r="J5" s="504" t="s">
        <v>572</v>
      </c>
      <c r="K5" s="505"/>
    </row>
    <row r="6" spans="1:12" ht="15" customHeight="1" x14ac:dyDescent="0.2">
      <c r="A6" s="501" t="s">
        <v>530</v>
      </c>
      <c r="B6" s="502"/>
      <c r="C6" s="1374"/>
      <c r="D6" s="1375"/>
      <c r="E6" s="1375"/>
      <c r="F6" s="1376"/>
      <c r="G6" s="1364" t="s">
        <v>531</v>
      </c>
      <c r="H6" s="1365"/>
      <c r="I6" s="503"/>
      <c r="J6" s="504" t="s">
        <v>197</v>
      </c>
      <c r="K6" s="505"/>
    </row>
    <row r="7" spans="1:12" ht="15" customHeight="1" x14ac:dyDescent="0.2">
      <c r="A7" s="501" t="s">
        <v>198</v>
      </c>
      <c r="B7" s="502"/>
      <c r="C7" s="1377"/>
      <c r="D7" s="1378"/>
      <c r="E7" s="1378"/>
      <c r="F7" s="1379"/>
      <c r="G7" s="1364"/>
      <c r="H7" s="1365"/>
      <c r="I7" s="503"/>
      <c r="J7" s="504" t="s">
        <v>199</v>
      </c>
      <c r="K7" s="505"/>
    </row>
    <row r="8" spans="1:12" ht="15" customHeight="1" x14ac:dyDescent="0.2">
      <c r="A8" s="501" t="s">
        <v>201</v>
      </c>
      <c r="B8" s="502"/>
      <c r="C8" s="1377"/>
      <c r="D8" s="1378"/>
      <c r="E8" s="1378"/>
      <c r="F8" s="1379"/>
      <c r="G8" s="1364"/>
      <c r="H8" s="1365"/>
      <c r="I8" s="503"/>
      <c r="J8" s="506" t="s">
        <v>3</v>
      </c>
      <c r="K8" s="507">
        <f>SUM(K4:K7)</f>
        <v>0</v>
      </c>
    </row>
    <row r="9" spans="1:12" ht="15" customHeight="1" x14ac:dyDescent="0.2">
      <c r="A9" s="501" t="s">
        <v>203</v>
      </c>
      <c r="B9" s="502"/>
      <c r="C9" s="1380">
        <v>2</v>
      </c>
      <c r="D9" s="1381"/>
      <c r="E9" s="1381"/>
      <c r="F9" s="1382"/>
      <c r="G9" s="1364"/>
      <c r="H9" s="1365"/>
      <c r="I9" s="503"/>
      <c r="J9" s="508"/>
      <c r="K9" s="509"/>
    </row>
    <row r="10" spans="1:12" ht="15" customHeight="1" x14ac:dyDescent="0.2">
      <c r="A10" s="501" t="s">
        <v>204</v>
      </c>
      <c r="B10" s="502"/>
      <c r="C10" s="1383">
        <v>60</v>
      </c>
      <c r="D10" s="1384"/>
      <c r="E10" s="1384"/>
      <c r="F10" s="1385"/>
      <c r="G10" s="1386" t="s">
        <v>3</v>
      </c>
      <c r="H10" s="1387"/>
      <c r="I10" s="510">
        <f>SUM(I4:I9)</f>
        <v>0</v>
      </c>
      <c r="J10" s="511" t="s">
        <v>205</v>
      </c>
      <c r="K10" s="512"/>
    </row>
    <row r="11" spans="1:12" thickBot="1" x14ac:dyDescent="0.3">
      <c r="A11" s="513"/>
      <c r="B11" s="513"/>
      <c r="C11" s="513"/>
      <c r="D11" s="513"/>
      <c r="E11" s="513"/>
      <c r="F11" s="513"/>
      <c r="G11" s="513"/>
      <c r="H11" s="513"/>
      <c r="I11" s="513"/>
      <c r="J11" s="513"/>
      <c r="K11" s="513"/>
    </row>
    <row r="12" spans="1:12" ht="15" x14ac:dyDescent="0.2">
      <c r="A12" s="1388" t="s">
        <v>573</v>
      </c>
      <c r="B12" s="1388"/>
      <c r="C12" s="1388"/>
      <c r="D12" s="1388"/>
      <c r="E12" s="1388"/>
      <c r="F12" s="1389"/>
      <c r="G12" s="1390" t="s">
        <v>574</v>
      </c>
      <c r="H12" s="1391"/>
      <c r="I12" s="1391"/>
      <c r="J12" s="1392"/>
      <c r="K12" s="1393"/>
    </row>
    <row r="13" spans="1:12" ht="15" customHeight="1" x14ac:dyDescent="0.25">
      <c r="A13" s="513"/>
      <c r="B13" s="513"/>
      <c r="C13" s="514" t="s">
        <v>208</v>
      </c>
      <c r="D13" s="515" t="s">
        <v>209</v>
      </c>
      <c r="E13" s="516" t="s">
        <v>210</v>
      </c>
      <c r="F13" s="517" t="s">
        <v>211</v>
      </c>
      <c r="G13" s="518" t="s">
        <v>208</v>
      </c>
      <c r="H13" s="515" t="s">
        <v>209</v>
      </c>
      <c r="I13" s="516" t="s">
        <v>210</v>
      </c>
      <c r="J13" s="519" t="s">
        <v>211</v>
      </c>
      <c r="K13" s="1394"/>
    </row>
    <row r="14" spans="1:12" ht="18.75" customHeight="1" x14ac:dyDescent="0.3">
      <c r="A14" s="1395" t="s">
        <v>532</v>
      </c>
      <c r="B14" s="1396"/>
      <c r="C14" s="1397"/>
      <c r="D14" s="1397"/>
      <c r="E14" s="1397"/>
      <c r="F14" s="1397"/>
      <c r="G14" s="1397"/>
      <c r="H14" s="1397"/>
      <c r="I14" s="1397"/>
      <c r="J14" s="1397"/>
      <c r="K14" s="1394"/>
    </row>
    <row r="15" spans="1:12" ht="15" customHeight="1" x14ac:dyDescent="0.2">
      <c r="A15" s="520" t="s">
        <v>215</v>
      </c>
      <c r="B15" s="521" t="s">
        <v>106</v>
      </c>
      <c r="C15" s="514">
        <f>C9</f>
        <v>2</v>
      </c>
      <c r="D15" s="522">
        <f>C10+I10</f>
        <v>60</v>
      </c>
      <c r="E15" s="523">
        <v>7</v>
      </c>
      <c r="F15" s="524">
        <f t="shared" ref="F15:F19" si="0">C15*D15*E15</f>
        <v>840</v>
      </c>
      <c r="G15" s="525">
        <f>C15</f>
        <v>2</v>
      </c>
      <c r="H15" s="522">
        <f>D15</f>
        <v>60</v>
      </c>
      <c r="I15" s="523">
        <v>7</v>
      </c>
      <c r="J15" s="524">
        <f t="shared" ref="J15:J20" si="1">G15*H15*I15</f>
        <v>840</v>
      </c>
      <c r="K15" s="1394"/>
      <c r="L15" s="585">
        <f>F15+J15</f>
        <v>1680</v>
      </c>
    </row>
    <row r="16" spans="1:12" ht="15" customHeight="1" x14ac:dyDescent="0.2">
      <c r="A16" s="520" t="s">
        <v>216</v>
      </c>
      <c r="B16" s="521" t="s">
        <v>107</v>
      </c>
      <c r="C16" s="514"/>
      <c r="D16" s="522"/>
      <c r="E16" s="523"/>
      <c r="F16" s="524">
        <f t="shared" si="0"/>
        <v>0</v>
      </c>
      <c r="G16" s="525">
        <f t="shared" ref="G16:G21" si="2">C16</f>
        <v>0</v>
      </c>
      <c r="H16" s="522">
        <f t="shared" ref="H16:H21" si="3">D16</f>
        <v>0</v>
      </c>
      <c r="I16" s="523"/>
      <c r="J16" s="524">
        <f t="shared" si="1"/>
        <v>0</v>
      </c>
      <c r="K16" s="1394"/>
    </row>
    <row r="17" spans="1:13" ht="15" customHeight="1" x14ac:dyDescent="0.2">
      <c r="A17" s="520" t="s">
        <v>217</v>
      </c>
      <c r="B17" s="521" t="s">
        <v>120</v>
      </c>
      <c r="C17" s="514">
        <f t="shared" ref="C17:C19" si="4">$C$9</f>
        <v>2</v>
      </c>
      <c r="D17" s="522">
        <f t="shared" ref="D17:D19" si="5">$C$10+$I$10</f>
        <v>60</v>
      </c>
      <c r="E17" s="523"/>
      <c r="F17" s="524">
        <f t="shared" si="0"/>
        <v>0</v>
      </c>
      <c r="G17" s="525">
        <f t="shared" si="2"/>
        <v>2</v>
      </c>
      <c r="H17" s="522">
        <f t="shared" si="3"/>
        <v>60</v>
      </c>
      <c r="I17" s="523"/>
      <c r="J17" s="524">
        <f t="shared" si="1"/>
        <v>0</v>
      </c>
      <c r="K17" s="1394"/>
    </row>
    <row r="18" spans="1:13" ht="15" customHeight="1" x14ac:dyDescent="0.2">
      <c r="A18" s="520" t="s">
        <v>218</v>
      </c>
      <c r="B18" s="521" t="s">
        <v>107</v>
      </c>
      <c r="C18" s="514">
        <f t="shared" si="4"/>
        <v>2</v>
      </c>
      <c r="D18" s="522">
        <f t="shared" si="5"/>
        <v>60</v>
      </c>
      <c r="E18" s="523"/>
      <c r="F18" s="524">
        <v>160</v>
      </c>
      <c r="G18" s="525">
        <f t="shared" si="2"/>
        <v>2</v>
      </c>
      <c r="H18" s="522">
        <f t="shared" si="3"/>
        <v>60</v>
      </c>
      <c r="I18" s="523"/>
      <c r="J18" s="524">
        <v>160</v>
      </c>
      <c r="K18" s="1394"/>
      <c r="L18" s="585">
        <f>F18+J18</f>
        <v>320</v>
      </c>
    </row>
    <row r="19" spans="1:13" ht="15" customHeight="1" thickBot="1" x14ac:dyDescent="0.25">
      <c r="A19" s="520" t="s">
        <v>219</v>
      </c>
      <c r="B19" s="521" t="s">
        <v>108</v>
      </c>
      <c r="C19" s="514">
        <f t="shared" si="4"/>
        <v>2</v>
      </c>
      <c r="D19" s="522">
        <f t="shared" si="5"/>
        <v>60</v>
      </c>
      <c r="E19" s="529"/>
      <c r="F19" s="524">
        <f t="shared" si="0"/>
        <v>0</v>
      </c>
      <c r="G19" s="525">
        <f t="shared" si="2"/>
        <v>2</v>
      </c>
      <c r="H19" s="522">
        <f t="shared" si="3"/>
        <v>60</v>
      </c>
      <c r="I19" s="529"/>
      <c r="J19" s="524">
        <f t="shared" si="1"/>
        <v>0</v>
      </c>
      <c r="K19" s="1394"/>
    </row>
    <row r="20" spans="1:13" ht="15" customHeight="1" x14ac:dyDescent="0.2">
      <c r="A20" s="520" t="s">
        <v>220</v>
      </c>
      <c r="B20" s="531" t="s">
        <v>116</v>
      </c>
      <c r="C20" s="514">
        <v>8</v>
      </c>
      <c r="D20" s="522">
        <f>C10</f>
        <v>60</v>
      </c>
      <c r="E20" s="523"/>
      <c r="F20" s="524">
        <f t="shared" ref="F20:F21" si="6">C20*D20*E20</f>
        <v>0</v>
      </c>
      <c r="G20" s="525">
        <f t="shared" si="2"/>
        <v>8</v>
      </c>
      <c r="H20" s="522">
        <f t="shared" si="3"/>
        <v>60</v>
      </c>
      <c r="I20" s="523"/>
      <c r="J20" s="524">
        <f t="shared" si="1"/>
        <v>0</v>
      </c>
      <c r="K20" s="1394"/>
    </row>
    <row r="21" spans="1:13" ht="15" customHeight="1" x14ac:dyDescent="0.2">
      <c r="A21" s="520" t="s">
        <v>221</v>
      </c>
      <c r="B21" s="521" t="s">
        <v>110</v>
      </c>
      <c r="C21" s="514">
        <f>C9</f>
        <v>2</v>
      </c>
      <c r="D21" s="522">
        <f>C10+I10</f>
        <v>60</v>
      </c>
      <c r="E21" s="523"/>
      <c r="F21" s="524">
        <f t="shared" si="6"/>
        <v>0</v>
      </c>
      <c r="G21" s="525">
        <f t="shared" si="2"/>
        <v>2</v>
      </c>
      <c r="H21" s="522">
        <f t="shared" si="3"/>
        <v>60</v>
      </c>
      <c r="I21" s="523"/>
      <c r="J21" s="524">
        <f t="shared" ref="J21" si="7">G21*H21*I21</f>
        <v>0</v>
      </c>
      <c r="K21" s="1394"/>
    </row>
    <row r="22" spans="1:13" ht="15" customHeight="1" x14ac:dyDescent="0.25">
      <c r="A22" s="532" t="s">
        <v>3</v>
      </c>
      <c r="B22" s="533"/>
      <c r="C22" s="534"/>
      <c r="D22" s="535"/>
      <c r="E22" s="536"/>
      <c r="F22" s="537">
        <f>SUM(F15:F21)</f>
        <v>1000</v>
      </c>
      <c r="G22" s="538"/>
      <c r="H22" s="539"/>
      <c r="I22" s="540"/>
      <c r="J22" s="537">
        <f>SUM(J15:J21)</f>
        <v>1000</v>
      </c>
      <c r="K22" s="1394"/>
      <c r="M22" s="541"/>
    </row>
    <row r="23" spans="1:13" ht="18.75" customHeight="1" x14ac:dyDescent="0.3">
      <c r="A23" s="1395" t="s">
        <v>223</v>
      </c>
      <c r="B23" s="1396"/>
      <c r="C23" s="1397"/>
      <c r="D23" s="1397"/>
      <c r="E23" s="1397"/>
      <c r="F23" s="1397"/>
      <c r="G23" s="1397"/>
      <c r="H23" s="1397"/>
      <c r="I23" s="1397"/>
      <c r="J23" s="1397"/>
      <c r="K23" s="1394"/>
    </row>
    <row r="24" spans="1:13" ht="18" customHeight="1" x14ac:dyDescent="0.25">
      <c r="A24" s="1398" t="s">
        <v>224</v>
      </c>
      <c r="B24" s="1399"/>
      <c r="C24" s="1355"/>
      <c r="D24" s="1355"/>
      <c r="E24" s="1355"/>
      <c r="F24" s="1355"/>
      <c r="G24" s="1355"/>
      <c r="H24" s="1355"/>
      <c r="I24" s="1355"/>
      <c r="J24" s="1355"/>
      <c r="K24" s="1394"/>
    </row>
    <row r="25" spans="1:13" ht="18" customHeight="1" x14ac:dyDescent="0.2">
      <c r="A25" s="520" t="s">
        <v>533</v>
      </c>
      <c r="B25" s="542"/>
      <c r="C25" s="514">
        <f t="shared" ref="C25" si="8">$C$9</f>
        <v>2</v>
      </c>
      <c r="D25" s="522">
        <v>1</v>
      </c>
      <c r="E25" s="523"/>
      <c r="F25" s="537">
        <v>1000</v>
      </c>
      <c r="G25" s="525">
        <f t="shared" ref="G25:G29" si="9">$C$9</f>
        <v>2</v>
      </c>
      <c r="H25" s="522"/>
      <c r="I25" s="526"/>
      <c r="J25" s="537">
        <v>1000</v>
      </c>
      <c r="K25" s="1394"/>
      <c r="L25" s="585">
        <f t="shared" ref="L25:L26" si="10">F25+J25</f>
        <v>2000</v>
      </c>
    </row>
    <row r="26" spans="1:13" ht="18" customHeight="1" x14ac:dyDescent="0.2">
      <c r="A26" s="520" t="s">
        <v>137</v>
      </c>
      <c r="B26" s="542"/>
      <c r="C26" s="514"/>
      <c r="D26" s="522"/>
      <c r="E26" s="523"/>
      <c r="F26" s="537">
        <v>1000</v>
      </c>
      <c r="G26" s="525">
        <f t="shared" si="9"/>
        <v>2</v>
      </c>
      <c r="H26" s="522"/>
      <c r="I26" s="526"/>
      <c r="J26" s="537">
        <v>1000</v>
      </c>
      <c r="K26" s="1394"/>
      <c r="L26" s="585">
        <f t="shared" si="10"/>
        <v>2000</v>
      </c>
    </row>
    <row r="27" spans="1:13" ht="18" customHeight="1" x14ac:dyDescent="0.2">
      <c r="A27" s="520"/>
      <c r="B27" s="542"/>
      <c r="C27" s="514"/>
      <c r="D27" s="522"/>
      <c r="E27" s="523"/>
      <c r="F27" s="537"/>
      <c r="G27" s="525">
        <f t="shared" si="9"/>
        <v>2</v>
      </c>
      <c r="H27" s="522"/>
      <c r="I27" s="526"/>
      <c r="J27" s="537"/>
      <c r="K27" s="1394"/>
    </row>
    <row r="28" spans="1:13" ht="18" customHeight="1" x14ac:dyDescent="0.2">
      <c r="A28" s="520"/>
      <c r="B28" s="542"/>
      <c r="C28" s="514"/>
      <c r="D28" s="522"/>
      <c r="E28" s="523"/>
      <c r="F28" s="537"/>
      <c r="G28" s="525">
        <f t="shared" si="9"/>
        <v>2</v>
      </c>
      <c r="H28" s="522"/>
      <c r="I28" s="526"/>
      <c r="J28" s="537"/>
      <c r="K28" s="1394"/>
    </row>
    <row r="29" spans="1:13" ht="18" customHeight="1" x14ac:dyDescent="0.2">
      <c r="A29" s="520"/>
      <c r="B29" s="542"/>
      <c r="C29" s="514"/>
      <c r="D29" s="522"/>
      <c r="E29" s="523"/>
      <c r="F29" s="537"/>
      <c r="G29" s="525">
        <f t="shared" si="9"/>
        <v>2</v>
      </c>
      <c r="H29" s="522"/>
      <c r="I29" s="526"/>
      <c r="J29" s="537"/>
      <c r="K29" s="1394"/>
    </row>
    <row r="30" spans="1:13" ht="15" customHeight="1" x14ac:dyDescent="0.25">
      <c r="A30" s="547" t="s">
        <v>3</v>
      </c>
      <c r="B30" s="548"/>
      <c r="C30" s="543"/>
      <c r="D30" s="544"/>
      <c r="E30" s="549"/>
      <c r="F30" s="537">
        <f>F25+F26</f>
        <v>2000</v>
      </c>
      <c r="G30" s="545"/>
      <c r="H30" s="513"/>
      <c r="I30" s="546"/>
      <c r="J30" s="537">
        <f>J25+J26</f>
        <v>2000</v>
      </c>
      <c r="K30" s="1394"/>
    </row>
    <row r="31" spans="1:13" ht="15" customHeight="1" x14ac:dyDescent="0.25">
      <c r="A31" s="550" t="s">
        <v>534</v>
      </c>
      <c r="B31" s="551"/>
      <c r="C31" s="552"/>
      <c r="D31" s="553"/>
      <c r="E31" s="554"/>
      <c r="F31" s="537">
        <f>+F30+F22</f>
        <v>3000</v>
      </c>
      <c r="G31" s="538"/>
      <c r="H31" s="539"/>
      <c r="I31" s="540"/>
      <c r="J31" s="537">
        <f>+J30+J22</f>
        <v>3000</v>
      </c>
      <c r="K31" s="1394"/>
    </row>
    <row r="32" spans="1:13" ht="18" customHeight="1" x14ac:dyDescent="0.25">
      <c r="A32" s="1400" t="s">
        <v>535</v>
      </c>
      <c r="B32" s="1401"/>
      <c r="C32" s="1397"/>
      <c r="D32" s="1397"/>
      <c r="E32" s="1397"/>
      <c r="F32" s="1397"/>
      <c r="G32" s="1397"/>
      <c r="H32" s="1397"/>
      <c r="I32" s="1397"/>
      <c r="J32" s="1397"/>
      <c r="K32" s="1394"/>
    </row>
    <row r="33" spans="1:12" ht="15" customHeight="1" x14ac:dyDescent="0.2">
      <c r="A33" s="555" t="s">
        <v>392</v>
      </c>
      <c r="B33" s="556"/>
      <c r="C33" s="514"/>
      <c r="D33" s="522">
        <f>K4</f>
        <v>0</v>
      </c>
      <c r="E33" s="557"/>
      <c r="F33" s="524">
        <v>3000</v>
      </c>
      <c r="G33" s="525"/>
      <c r="H33" s="522"/>
      <c r="I33" s="558"/>
      <c r="J33" s="524">
        <v>3000</v>
      </c>
      <c r="K33" s="1394"/>
      <c r="L33" s="585">
        <f>F33+J33</f>
        <v>6000</v>
      </c>
    </row>
    <row r="34" spans="1:12" ht="15" customHeight="1" x14ac:dyDescent="0.2">
      <c r="A34" s="555"/>
      <c r="B34" s="556"/>
      <c r="C34" s="514">
        <f>C9</f>
        <v>2</v>
      </c>
      <c r="D34" s="522">
        <f>C10</f>
        <v>60</v>
      </c>
      <c r="E34" s="557"/>
      <c r="F34" s="524">
        <f>K5*0.07*C6</f>
        <v>0</v>
      </c>
      <c r="G34" s="525"/>
      <c r="H34" s="522"/>
      <c r="I34" s="558"/>
      <c r="J34" s="524"/>
      <c r="K34" s="1394"/>
    </row>
    <row r="35" spans="1:12" ht="15" customHeight="1" x14ac:dyDescent="0.25">
      <c r="A35" s="550" t="s">
        <v>537</v>
      </c>
      <c r="B35" s="551"/>
      <c r="C35" s="559"/>
      <c r="D35" s="560"/>
      <c r="E35" s="554"/>
      <c r="F35" s="537"/>
      <c r="G35" s="560"/>
      <c r="H35" s="560"/>
      <c r="I35" s="554"/>
      <c r="J35" s="537"/>
      <c r="K35" s="1394"/>
    </row>
    <row r="36" spans="1:12" thickBot="1" x14ac:dyDescent="0.3">
      <c r="A36" s="561"/>
      <c r="B36" s="561"/>
      <c r="C36" s="561"/>
      <c r="D36" s="561"/>
      <c r="E36" s="513"/>
      <c r="F36" s="562" t="s">
        <v>538</v>
      </c>
      <c r="G36" s="513"/>
      <c r="H36" s="513"/>
      <c r="I36" s="513"/>
      <c r="J36" s="562"/>
      <c r="K36" s="1394"/>
    </row>
    <row r="37" spans="1:12" ht="16.5" customHeight="1" thickTop="1" thickBot="1" x14ac:dyDescent="0.3">
      <c r="A37" s="563" t="s">
        <v>240</v>
      </c>
      <c r="B37" s="564"/>
      <c r="C37" s="564"/>
      <c r="D37" s="565"/>
      <c r="E37" s="566"/>
      <c r="F37" s="567">
        <f>F35+F31</f>
        <v>3000</v>
      </c>
      <c r="G37" s="513"/>
      <c r="H37" s="513"/>
      <c r="I37" s="513"/>
      <c r="J37" s="567">
        <f>J35+J31</f>
        <v>3000</v>
      </c>
      <c r="K37" s="1394"/>
    </row>
    <row r="38" spans="1:12" ht="16.5" customHeight="1" thickTop="1" thickBot="1" x14ac:dyDescent="0.3">
      <c r="A38" s="568" t="s">
        <v>86</v>
      </c>
      <c r="B38" s="569"/>
      <c r="C38" s="569"/>
      <c r="D38" s="570"/>
      <c r="E38" s="571"/>
      <c r="F38" s="572">
        <f>F33</f>
        <v>3000</v>
      </c>
      <c r="G38" s="513"/>
      <c r="H38" s="513"/>
      <c r="I38" s="513"/>
      <c r="J38" s="572">
        <f>J33</f>
        <v>3000</v>
      </c>
      <c r="K38" s="1394"/>
    </row>
    <row r="39" spans="1:12" ht="16.5" customHeight="1" thickTop="1" x14ac:dyDescent="0.25">
      <c r="A39" s="573" t="s">
        <v>245</v>
      </c>
      <c r="B39" s="574"/>
      <c r="C39" s="574"/>
      <c r="D39" s="575"/>
      <c r="E39" s="576"/>
      <c r="F39" s="577">
        <f>F38-F37</f>
        <v>0</v>
      </c>
      <c r="G39" s="513"/>
      <c r="H39" s="513"/>
      <c r="I39" s="513"/>
      <c r="J39" s="577">
        <f>J38-J37</f>
        <v>0</v>
      </c>
      <c r="K39" s="1394"/>
    </row>
    <row r="40" spans="1:12" ht="17.25" hidden="1" customHeight="1" x14ac:dyDescent="0.25">
      <c r="A40" s="578" t="s">
        <v>539</v>
      </c>
      <c r="B40" s="579"/>
      <c r="C40" s="580"/>
      <c r="D40" s="580"/>
      <c r="E40" s="580"/>
      <c r="F40" s="581">
        <v>0</v>
      </c>
      <c r="G40" s="549"/>
      <c r="H40" s="549"/>
      <c r="I40" s="549"/>
      <c r="J40" s="549"/>
      <c r="K40" s="549"/>
    </row>
    <row r="41" spans="1:12" hidden="1" thickBot="1" x14ac:dyDescent="0.3">
      <c r="A41" s="582" t="s">
        <v>3</v>
      </c>
      <c r="B41" s="583"/>
      <c r="C41" s="580"/>
      <c r="D41" s="580"/>
      <c r="E41" s="580"/>
      <c r="F41" s="584">
        <f>SUM(F39:F39)</f>
        <v>0</v>
      </c>
      <c r="G41" s="549"/>
      <c r="H41" s="549"/>
      <c r="I41" s="549"/>
      <c r="J41" s="549"/>
      <c r="K41" s="549"/>
    </row>
    <row r="44" spans="1:12" ht="15.75" customHeight="1" x14ac:dyDescent="0.2">
      <c r="F44" s="585"/>
    </row>
  </sheetData>
  <mergeCells count="26">
    <mergeCell ref="A12:F12"/>
    <mergeCell ref="G12:J12"/>
    <mergeCell ref="K12:K39"/>
    <mergeCell ref="A14:J14"/>
    <mergeCell ref="A23:J23"/>
    <mergeCell ref="A24:J24"/>
    <mergeCell ref="A32:J32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M44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00" customWidth="1"/>
    <col min="3" max="4" width="5.42578125" style="500" customWidth="1"/>
    <col min="5" max="5" width="12" style="500" customWidth="1"/>
    <col min="6" max="6" width="15.140625" style="500" customWidth="1"/>
    <col min="7" max="7" width="5.42578125" style="500" customWidth="1"/>
    <col min="8" max="8" width="7.5703125" style="500" customWidth="1"/>
    <col min="9" max="9" width="10.28515625" style="500" customWidth="1"/>
    <col min="10" max="11" width="15.140625" style="500" customWidth="1"/>
    <col min="12" max="16384" width="16.5703125" style="500"/>
  </cols>
  <sheetData>
    <row r="1" spans="1:12" ht="25.5" customHeight="1" x14ac:dyDescent="0.35">
      <c r="A1" s="1353" t="s">
        <v>525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2" ht="15" customHeight="1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2" ht="15" x14ac:dyDescent="0.2">
      <c r="A3" s="501" t="s">
        <v>184</v>
      </c>
      <c r="B3" s="502"/>
      <c r="C3" s="1366" t="s">
        <v>334</v>
      </c>
      <c r="D3" s="1367"/>
      <c r="E3" s="1367"/>
      <c r="F3" s="1368"/>
      <c r="G3" s="1369" t="s">
        <v>186</v>
      </c>
      <c r="H3" s="1370"/>
      <c r="I3" s="1371"/>
      <c r="J3" s="1372" t="s">
        <v>187</v>
      </c>
      <c r="K3" s="1373"/>
    </row>
    <row r="4" spans="1:12" ht="15" customHeight="1" x14ac:dyDescent="0.2">
      <c r="A4" s="501" t="s">
        <v>188</v>
      </c>
      <c r="B4" s="502"/>
      <c r="C4" s="1361" t="s">
        <v>526</v>
      </c>
      <c r="D4" s="1362"/>
      <c r="E4" s="1362"/>
      <c r="F4" s="1363"/>
      <c r="G4" s="1364" t="s">
        <v>527</v>
      </c>
      <c r="H4" s="1365"/>
      <c r="I4" s="503"/>
      <c r="J4" s="504" t="s">
        <v>570</v>
      </c>
      <c r="K4" s="505"/>
    </row>
    <row r="5" spans="1:12" ht="15" customHeight="1" x14ac:dyDescent="0.2">
      <c r="A5" s="501" t="s">
        <v>528</v>
      </c>
      <c r="B5" s="502"/>
      <c r="C5" s="1361"/>
      <c r="D5" s="1362"/>
      <c r="E5" s="1362"/>
      <c r="F5" s="1363"/>
      <c r="G5" s="1364" t="s">
        <v>529</v>
      </c>
      <c r="H5" s="1365"/>
      <c r="I5" s="503"/>
      <c r="J5" s="504" t="s">
        <v>572</v>
      </c>
      <c r="K5" s="505"/>
    </row>
    <row r="6" spans="1:12" ht="15" customHeight="1" x14ac:dyDescent="0.2">
      <c r="A6" s="501" t="s">
        <v>530</v>
      </c>
      <c r="B6" s="502"/>
      <c r="C6" s="1374"/>
      <c r="D6" s="1375"/>
      <c r="E6" s="1375"/>
      <c r="F6" s="1376"/>
      <c r="G6" s="1364" t="s">
        <v>531</v>
      </c>
      <c r="H6" s="1365"/>
      <c r="I6" s="503"/>
      <c r="J6" s="504" t="s">
        <v>197</v>
      </c>
      <c r="K6" s="505"/>
    </row>
    <row r="7" spans="1:12" ht="15" customHeight="1" x14ac:dyDescent="0.2">
      <c r="A7" s="501" t="s">
        <v>198</v>
      </c>
      <c r="B7" s="502"/>
      <c r="C7" s="1377"/>
      <c r="D7" s="1378"/>
      <c r="E7" s="1378"/>
      <c r="F7" s="1379"/>
      <c r="G7" s="1364"/>
      <c r="H7" s="1365"/>
      <c r="I7" s="503"/>
      <c r="J7" s="504" t="s">
        <v>199</v>
      </c>
      <c r="K7" s="505"/>
    </row>
    <row r="8" spans="1:12" ht="15" customHeight="1" x14ac:dyDescent="0.2">
      <c r="A8" s="501" t="s">
        <v>201</v>
      </c>
      <c r="B8" s="502"/>
      <c r="C8" s="1377"/>
      <c r="D8" s="1378"/>
      <c r="E8" s="1378"/>
      <c r="F8" s="1379"/>
      <c r="G8" s="1364"/>
      <c r="H8" s="1365"/>
      <c r="I8" s="503"/>
      <c r="J8" s="506" t="s">
        <v>3</v>
      </c>
      <c r="K8" s="507">
        <f>SUM(K4:K7)</f>
        <v>0</v>
      </c>
    </row>
    <row r="9" spans="1:12" ht="15" customHeight="1" x14ac:dyDescent="0.2">
      <c r="A9" s="501" t="s">
        <v>203</v>
      </c>
      <c r="B9" s="502"/>
      <c r="C9" s="1380">
        <v>2</v>
      </c>
      <c r="D9" s="1381"/>
      <c r="E9" s="1381"/>
      <c r="F9" s="1382"/>
      <c r="G9" s="1364"/>
      <c r="H9" s="1365"/>
      <c r="I9" s="503"/>
      <c r="J9" s="508"/>
      <c r="K9" s="509"/>
    </row>
    <row r="10" spans="1:12" ht="15" customHeight="1" x14ac:dyDescent="0.2">
      <c r="A10" s="501" t="s">
        <v>204</v>
      </c>
      <c r="B10" s="502"/>
      <c r="C10" s="1383">
        <v>60</v>
      </c>
      <c r="D10" s="1384"/>
      <c r="E10" s="1384"/>
      <c r="F10" s="1385"/>
      <c r="G10" s="1386" t="s">
        <v>3</v>
      </c>
      <c r="H10" s="1387"/>
      <c r="I10" s="510">
        <f>SUM(I4:I9)</f>
        <v>0</v>
      </c>
      <c r="J10" s="511" t="s">
        <v>205</v>
      </c>
      <c r="K10" s="512"/>
    </row>
    <row r="11" spans="1:12" thickBot="1" x14ac:dyDescent="0.3">
      <c r="A11" s="513"/>
      <c r="B11" s="513"/>
      <c r="C11" s="513"/>
      <c r="D11" s="513"/>
      <c r="E11" s="513"/>
      <c r="F11" s="513"/>
      <c r="G11" s="513"/>
      <c r="H11" s="513"/>
      <c r="I11" s="513"/>
      <c r="J11" s="513"/>
      <c r="K11" s="513"/>
    </row>
    <row r="12" spans="1:12" ht="15" x14ac:dyDescent="0.2">
      <c r="A12" s="1388" t="s">
        <v>573</v>
      </c>
      <c r="B12" s="1388"/>
      <c r="C12" s="1388"/>
      <c r="D12" s="1388"/>
      <c r="E12" s="1388"/>
      <c r="F12" s="1389"/>
      <c r="G12" s="1390" t="s">
        <v>574</v>
      </c>
      <c r="H12" s="1391"/>
      <c r="I12" s="1391"/>
      <c r="J12" s="1392"/>
      <c r="K12" s="1393"/>
    </row>
    <row r="13" spans="1:12" ht="15" customHeight="1" x14ac:dyDescent="0.25">
      <c r="A13" s="513"/>
      <c r="B13" s="513"/>
      <c r="C13" s="514" t="s">
        <v>208</v>
      </c>
      <c r="D13" s="515" t="s">
        <v>209</v>
      </c>
      <c r="E13" s="516" t="s">
        <v>210</v>
      </c>
      <c r="F13" s="517" t="s">
        <v>211</v>
      </c>
      <c r="G13" s="518" t="s">
        <v>208</v>
      </c>
      <c r="H13" s="515" t="s">
        <v>209</v>
      </c>
      <c r="I13" s="516" t="s">
        <v>210</v>
      </c>
      <c r="J13" s="519" t="s">
        <v>211</v>
      </c>
      <c r="K13" s="1394"/>
    </row>
    <row r="14" spans="1:12" ht="18.75" customHeight="1" x14ac:dyDescent="0.3">
      <c r="A14" s="1395" t="s">
        <v>532</v>
      </c>
      <c r="B14" s="1396"/>
      <c r="C14" s="1397"/>
      <c r="D14" s="1397"/>
      <c r="E14" s="1397"/>
      <c r="F14" s="1397"/>
      <c r="G14" s="1397"/>
      <c r="H14" s="1397"/>
      <c r="I14" s="1397"/>
      <c r="J14" s="1397"/>
      <c r="K14" s="1394"/>
    </row>
    <row r="15" spans="1:12" ht="15" customHeight="1" x14ac:dyDescent="0.2">
      <c r="A15" s="520" t="s">
        <v>215</v>
      </c>
      <c r="B15" s="521" t="s">
        <v>106</v>
      </c>
      <c r="C15" s="514">
        <f>C9</f>
        <v>2</v>
      </c>
      <c r="D15" s="522">
        <f>C10+I10</f>
        <v>60</v>
      </c>
      <c r="E15" s="523">
        <v>7</v>
      </c>
      <c r="F15" s="524">
        <f t="shared" ref="F15:F21" si="0">C15*D15*E15</f>
        <v>840</v>
      </c>
      <c r="G15" s="525">
        <f>C15</f>
        <v>2</v>
      </c>
      <c r="H15" s="522">
        <f>D15</f>
        <v>60</v>
      </c>
      <c r="I15" s="523">
        <v>7</v>
      </c>
      <c r="J15" s="524">
        <f t="shared" ref="J15:J21" si="1">G15*H15*I15</f>
        <v>840</v>
      </c>
      <c r="K15" s="1394"/>
      <c r="L15" s="585">
        <f>F15+J15</f>
        <v>1680</v>
      </c>
    </row>
    <row r="16" spans="1:12" ht="15" customHeight="1" x14ac:dyDescent="0.2">
      <c r="A16" s="520" t="s">
        <v>216</v>
      </c>
      <c r="B16" s="521" t="s">
        <v>107</v>
      </c>
      <c r="C16" s="514"/>
      <c r="D16" s="522"/>
      <c r="E16" s="523"/>
      <c r="F16" s="524">
        <f t="shared" si="0"/>
        <v>0</v>
      </c>
      <c r="G16" s="525">
        <f t="shared" ref="G16:H21" si="2">C16</f>
        <v>0</v>
      </c>
      <c r="H16" s="522">
        <f t="shared" si="2"/>
        <v>0</v>
      </c>
      <c r="I16" s="523"/>
      <c r="J16" s="524">
        <f t="shared" si="1"/>
        <v>0</v>
      </c>
      <c r="K16" s="1394"/>
    </row>
    <row r="17" spans="1:13" ht="15" customHeight="1" x14ac:dyDescent="0.2">
      <c r="A17" s="520" t="s">
        <v>217</v>
      </c>
      <c r="B17" s="521" t="s">
        <v>120</v>
      </c>
      <c r="C17" s="514">
        <f t="shared" ref="C17:C19" si="3">$C$9</f>
        <v>2</v>
      </c>
      <c r="D17" s="522">
        <f t="shared" ref="D17:D19" si="4">$C$10+$I$10</f>
        <v>60</v>
      </c>
      <c r="E17" s="523"/>
      <c r="F17" s="524">
        <f t="shared" si="0"/>
        <v>0</v>
      </c>
      <c r="G17" s="525">
        <f t="shared" si="2"/>
        <v>2</v>
      </c>
      <c r="H17" s="522">
        <f t="shared" si="2"/>
        <v>60</v>
      </c>
      <c r="I17" s="523"/>
      <c r="J17" s="524">
        <f t="shared" si="1"/>
        <v>0</v>
      </c>
      <c r="K17" s="1394"/>
    </row>
    <row r="18" spans="1:13" ht="15" customHeight="1" x14ac:dyDescent="0.2">
      <c r="A18" s="520" t="s">
        <v>218</v>
      </c>
      <c r="B18" s="521" t="s">
        <v>107</v>
      </c>
      <c r="C18" s="514">
        <f t="shared" si="3"/>
        <v>2</v>
      </c>
      <c r="D18" s="522">
        <f t="shared" si="4"/>
        <v>60</v>
      </c>
      <c r="E18" s="523"/>
      <c r="F18" s="524">
        <v>160</v>
      </c>
      <c r="G18" s="525">
        <f t="shared" si="2"/>
        <v>2</v>
      </c>
      <c r="H18" s="522">
        <f t="shared" si="2"/>
        <v>60</v>
      </c>
      <c r="I18" s="523"/>
      <c r="J18" s="524">
        <v>160</v>
      </c>
      <c r="K18" s="1394"/>
      <c r="L18" s="585">
        <f>F18+J18</f>
        <v>320</v>
      </c>
    </row>
    <row r="19" spans="1:13" ht="15" customHeight="1" thickBot="1" x14ac:dyDescent="0.25">
      <c r="A19" s="520" t="s">
        <v>219</v>
      </c>
      <c r="B19" s="521" t="s">
        <v>108</v>
      </c>
      <c r="C19" s="514">
        <f t="shared" si="3"/>
        <v>2</v>
      </c>
      <c r="D19" s="522">
        <f t="shared" si="4"/>
        <v>60</v>
      </c>
      <c r="E19" s="529"/>
      <c r="F19" s="524">
        <f t="shared" si="0"/>
        <v>0</v>
      </c>
      <c r="G19" s="525">
        <f t="shared" si="2"/>
        <v>2</v>
      </c>
      <c r="H19" s="522">
        <f t="shared" si="2"/>
        <v>60</v>
      </c>
      <c r="I19" s="529"/>
      <c r="J19" s="524">
        <f t="shared" si="1"/>
        <v>0</v>
      </c>
      <c r="K19" s="1394"/>
    </row>
    <row r="20" spans="1:13" ht="15" customHeight="1" x14ac:dyDescent="0.2">
      <c r="A20" s="520" t="s">
        <v>220</v>
      </c>
      <c r="B20" s="531" t="s">
        <v>116</v>
      </c>
      <c r="C20" s="514">
        <v>8</v>
      </c>
      <c r="D20" s="522">
        <f>C10</f>
        <v>60</v>
      </c>
      <c r="E20" s="523"/>
      <c r="F20" s="524">
        <f t="shared" si="0"/>
        <v>0</v>
      </c>
      <c r="G20" s="525">
        <f t="shared" si="2"/>
        <v>8</v>
      </c>
      <c r="H20" s="522">
        <f t="shared" si="2"/>
        <v>60</v>
      </c>
      <c r="I20" s="523"/>
      <c r="J20" s="524">
        <f t="shared" si="1"/>
        <v>0</v>
      </c>
      <c r="K20" s="1394"/>
    </row>
    <row r="21" spans="1:13" ht="15" customHeight="1" x14ac:dyDescent="0.2">
      <c r="A21" s="520" t="s">
        <v>221</v>
      </c>
      <c r="B21" s="521" t="s">
        <v>110</v>
      </c>
      <c r="C21" s="514">
        <f>C9</f>
        <v>2</v>
      </c>
      <c r="D21" s="522">
        <f>C10+I10</f>
        <v>60</v>
      </c>
      <c r="E21" s="523"/>
      <c r="F21" s="524">
        <f t="shared" si="0"/>
        <v>0</v>
      </c>
      <c r="G21" s="525">
        <f t="shared" si="2"/>
        <v>2</v>
      </c>
      <c r="H21" s="522">
        <f t="shared" si="2"/>
        <v>60</v>
      </c>
      <c r="I21" s="523"/>
      <c r="J21" s="524">
        <f t="shared" si="1"/>
        <v>0</v>
      </c>
      <c r="K21" s="1394"/>
    </row>
    <row r="22" spans="1:13" ht="15" customHeight="1" x14ac:dyDescent="0.25">
      <c r="A22" s="532" t="s">
        <v>3</v>
      </c>
      <c r="B22" s="533"/>
      <c r="C22" s="534"/>
      <c r="D22" s="535"/>
      <c r="E22" s="536"/>
      <c r="F22" s="537">
        <f>SUM(F15:F21)</f>
        <v>1000</v>
      </c>
      <c r="G22" s="538"/>
      <c r="H22" s="539"/>
      <c r="I22" s="540"/>
      <c r="J22" s="537">
        <f>SUM(J15:J21)</f>
        <v>1000</v>
      </c>
      <c r="K22" s="1394"/>
      <c r="M22" s="541"/>
    </row>
    <row r="23" spans="1:13" ht="18.75" customHeight="1" x14ac:dyDescent="0.3">
      <c r="A23" s="1395" t="s">
        <v>223</v>
      </c>
      <c r="B23" s="1396"/>
      <c r="C23" s="1397"/>
      <c r="D23" s="1397"/>
      <c r="E23" s="1397"/>
      <c r="F23" s="1397"/>
      <c r="G23" s="1397"/>
      <c r="H23" s="1397"/>
      <c r="I23" s="1397"/>
      <c r="J23" s="1397"/>
      <c r="K23" s="1394"/>
    </row>
    <row r="24" spans="1:13" ht="18" customHeight="1" x14ac:dyDescent="0.25">
      <c r="A24" s="1398" t="s">
        <v>224</v>
      </c>
      <c r="B24" s="1399"/>
      <c r="C24" s="1355"/>
      <c r="D24" s="1355"/>
      <c r="E24" s="1355"/>
      <c r="F24" s="1355"/>
      <c r="G24" s="1355"/>
      <c r="H24" s="1355"/>
      <c r="I24" s="1355"/>
      <c r="J24" s="1355"/>
      <c r="K24" s="1394"/>
    </row>
    <row r="25" spans="1:13" ht="18" customHeight="1" x14ac:dyDescent="0.2">
      <c r="A25" s="520" t="s">
        <v>533</v>
      </c>
      <c r="B25" s="542"/>
      <c r="C25" s="514">
        <f t="shared" ref="C25" si="5">$C$9</f>
        <v>2</v>
      </c>
      <c r="D25" s="522">
        <v>1</v>
      </c>
      <c r="E25" s="523"/>
      <c r="F25" s="537">
        <v>1000</v>
      </c>
      <c r="G25" s="525">
        <f t="shared" ref="G25:G29" si="6">$C$9</f>
        <v>2</v>
      </c>
      <c r="H25" s="522"/>
      <c r="I25" s="526"/>
      <c r="J25" s="537">
        <v>1000</v>
      </c>
      <c r="K25" s="1394"/>
      <c r="L25" s="585">
        <f t="shared" ref="L25:L26" si="7">F25+J25</f>
        <v>2000</v>
      </c>
    </row>
    <row r="26" spans="1:13" ht="18" customHeight="1" x14ac:dyDescent="0.2">
      <c r="A26" s="520" t="s">
        <v>137</v>
      </c>
      <c r="B26" s="542"/>
      <c r="C26" s="514"/>
      <c r="D26" s="522"/>
      <c r="E26" s="523"/>
      <c r="F26" s="537">
        <v>1000</v>
      </c>
      <c r="G26" s="525">
        <f t="shared" si="6"/>
        <v>2</v>
      </c>
      <c r="H26" s="522"/>
      <c r="I26" s="526"/>
      <c r="J26" s="537">
        <v>1000</v>
      </c>
      <c r="K26" s="1394"/>
      <c r="L26" s="585">
        <f t="shared" si="7"/>
        <v>2000</v>
      </c>
    </row>
    <row r="27" spans="1:13" ht="18" customHeight="1" x14ac:dyDescent="0.2">
      <c r="A27" s="520"/>
      <c r="B27" s="542"/>
      <c r="C27" s="514"/>
      <c r="D27" s="522"/>
      <c r="E27" s="523"/>
      <c r="F27" s="537"/>
      <c r="G27" s="525">
        <f t="shared" si="6"/>
        <v>2</v>
      </c>
      <c r="H27" s="522"/>
      <c r="I27" s="526"/>
      <c r="J27" s="537"/>
      <c r="K27" s="1394"/>
    </row>
    <row r="28" spans="1:13" ht="18" customHeight="1" x14ac:dyDescent="0.2">
      <c r="A28" s="520"/>
      <c r="B28" s="542"/>
      <c r="C28" s="514"/>
      <c r="D28" s="522"/>
      <c r="E28" s="523"/>
      <c r="F28" s="537"/>
      <c r="G28" s="525">
        <f t="shared" si="6"/>
        <v>2</v>
      </c>
      <c r="H28" s="522"/>
      <c r="I28" s="526"/>
      <c r="J28" s="537"/>
      <c r="K28" s="1394"/>
    </row>
    <row r="29" spans="1:13" ht="18" customHeight="1" x14ac:dyDescent="0.2">
      <c r="A29" s="520"/>
      <c r="B29" s="542"/>
      <c r="C29" s="514"/>
      <c r="D29" s="522"/>
      <c r="E29" s="523"/>
      <c r="F29" s="537"/>
      <c r="G29" s="525">
        <f t="shared" si="6"/>
        <v>2</v>
      </c>
      <c r="H29" s="522"/>
      <c r="I29" s="526"/>
      <c r="J29" s="537"/>
      <c r="K29" s="1394"/>
    </row>
    <row r="30" spans="1:13" ht="15" customHeight="1" x14ac:dyDescent="0.25">
      <c r="A30" s="547" t="s">
        <v>3</v>
      </c>
      <c r="B30" s="548"/>
      <c r="C30" s="543"/>
      <c r="D30" s="544"/>
      <c r="E30" s="549"/>
      <c r="F30" s="537">
        <f>F25+F26</f>
        <v>2000</v>
      </c>
      <c r="G30" s="545"/>
      <c r="H30" s="513"/>
      <c r="I30" s="546"/>
      <c r="J30" s="537">
        <f>J25+J26</f>
        <v>2000</v>
      </c>
      <c r="K30" s="1394"/>
    </row>
    <row r="31" spans="1:13" ht="15" customHeight="1" x14ac:dyDescent="0.25">
      <c r="A31" s="550" t="s">
        <v>534</v>
      </c>
      <c r="B31" s="551"/>
      <c r="C31" s="552"/>
      <c r="D31" s="553"/>
      <c r="E31" s="554"/>
      <c r="F31" s="537">
        <f>+F30+F22</f>
        <v>3000</v>
      </c>
      <c r="G31" s="538"/>
      <c r="H31" s="539"/>
      <c r="I31" s="540"/>
      <c r="J31" s="537">
        <f>+J30+J22</f>
        <v>3000</v>
      </c>
      <c r="K31" s="1394"/>
    </row>
    <row r="32" spans="1:13" ht="18" customHeight="1" x14ac:dyDescent="0.25">
      <c r="A32" s="1400" t="s">
        <v>535</v>
      </c>
      <c r="B32" s="1401"/>
      <c r="C32" s="1397"/>
      <c r="D32" s="1397"/>
      <c r="E32" s="1397"/>
      <c r="F32" s="1397"/>
      <c r="G32" s="1397"/>
      <c r="H32" s="1397"/>
      <c r="I32" s="1397"/>
      <c r="J32" s="1397"/>
      <c r="K32" s="1394"/>
    </row>
    <row r="33" spans="1:12" ht="15" customHeight="1" x14ac:dyDescent="0.2">
      <c r="A33" s="555" t="s">
        <v>392</v>
      </c>
      <c r="B33" s="556"/>
      <c r="C33" s="514"/>
      <c r="D33" s="522">
        <f>K4</f>
        <v>0</v>
      </c>
      <c r="E33" s="557"/>
      <c r="F33" s="524">
        <v>3000</v>
      </c>
      <c r="G33" s="525"/>
      <c r="H33" s="522"/>
      <c r="I33" s="558"/>
      <c r="J33" s="524">
        <v>3000</v>
      </c>
      <c r="K33" s="1394"/>
      <c r="L33" s="585">
        <f>F33+J33</f>
        <v>6000</v>
      </c>
    </row>
    <row r="34" spans="1:12" ht="15" customHeight="1" x14ac:dyDescent="0.2">
      <c r="A34" s="555"/>
      <c r="B34" s="556"/>
      <c r="C34" s="514">
        <f>C9</f>
        <v>2</v>
      </c>
      <c r="D34" s="522">
        <f>C10</f>
        <v>60</v>
      </c>
      <c r="E34" s="557"/>
      <c r="F34" s="524">
        <f>K5*0.07*C6</f>
        <v>0</v>
      </c>
      <c r="G34" s="525"/>
      <c r="H34" s="522"/>
      <c r="I34" s="558"/>
      <c r="J34" s="524"/>
      <c r="K34" s="1394"/>
    </row>
    <row r="35" spans="1:12" ht="15" customHeight="1" x14ac:dyDescent="0.25">
      <c r="A35" s="550" t="s">
        <v>537</v>
      </c>
      <c r="B35" s="551"/>
      <c r="C35" s="559"/>
      <c r="D35" s="560"/>
      <c r="E35" s="554"/>
      <c r="F35" s="537"/>
      <c r="G35" s="560"/>
      <c r="H35" s="560"/>
      <c r="I35" s="554"/>
      <c r="J35" s="537"/>
      <c r="K35" s="1394"/>
    </row>
    <row r="36" spans="1:12" thickBot="1" x14ac:dyDescent="0.3">
      <c r="A36" s="561"/>
      <c r="B36" s="561"/>
      <c r="C36" s="561"/>
      <c r="D36" s="561"/>
      <c r="E36" s="513"/>
      <c r="F36" s="562" t="s">
        <v>538</v>
      </c>
      <c r="G36" s="513"/>
      <c r="H36" s="513"/>
      <c r="I36" s="513"/>
      <c r="J36" s="562"/>
      <c r="K36" s="1394"/>
    </row>
    <row r="37" spans="1:12" ht="16.5" customHeight="1" thickTop="1" thickBot="1" x14ac:dyDescent="0.3">
      <c r="A37" s="563" t="s">
        <v>240</v>
      </c>
      <c r="B37" s="564"/>
      <c r="C37" s="564"/>
      <c r="D37" s="565"/>
      <c r="E37" s="566"/>
      <c r="F37" s="567">
        <f>F35+F31</f>
        <v>3000</v>
      </c>
      <c r="G37" s="513"/>
      <c r="H37" s="513"/>
      <c r="I37" s="513"/>
      <c r="J37" s="567">
        <f>J35+J31</f>
        <v>3000</v>
      </c>
      <c r="K37" s="1394"/>
    </row>
    <row r="38" spans="1:12" ht="16.5" customHeight="1" thickTop="1" thickBot="1" x14ac:dyDescent="0.3">
      <c r="A38" s="568" t="s">
        <v>86</v>
      </c>
      <c r="B38" s="569"/>
      <c r="C38" s="569"/>
      <c r="D38" s="570"/>
      <c r="E38" s="571"/>
      <c r="F38" s="572">
        <f>F33</f>
        <v>3000</v>
      </c>
      <c r="G38" s="513"/>
      <c r="H38" s="513"/>
      <c r="I38" s="513"/>
      <c r="J38" s="572">
        <f>J33</f>
        <v>3000</v>
      </c>
      <c r="K38" s="1394"/>
    </row>
    <row r="39" spans="1:12" ht="16.5" customHeight="1" thickTop="1" x14ac:dyDescent="0.25">
      <c r="A39" s="573" t="s">
        <v>245</v>
      </c>
      <c r="B39" s="574"/>
      <c r="C39" s="574"/>
      <c r="D39" s="575"/>
      <c r="E39" s="576"/>
      <c r="F39" s="577">
        <f>F38-F37</f>
        <v>0</v>
      </c>
      <c r="G39" s="513"/>
      <c r="H39" s="513"/>
      <c r="I39" s="513"/>
      <c r="J39" s="577">
        <f>J38-J37</f>
        <v>0</v>
      </c>
      <c r="K39" s="1394"/>
    </row>
    <row r="40" spans="1:12" ht="17.25" hidden="1" customHeight="1" x14ac:dyDescent="0.25">
      <c r="A40" s="578" t="s">
        <v>539</v>
      </c>
      <c r="B40" s="579"/>
      <c r="C40" s="580"/>
      <c r="D40" s="580"/>
      <c r="E40" s="580"/>
      <c r="F40" s="581">
        <v>0</v>
      </c>
      <c r="G40" s="549"/>
      <c r="H40" s="549"/>
      <c r="I40" s="549"/>
      <c r="J40" s="549"/>
      <c r="K40" s="549"/>
    </row>
    <row r="41" spans="1:12" hidden="1" thickBot="1" x14ac:dyDescent="0.3">
      <c r="A41" s="582" t="s">
        <v>3</v>
      </c>
      <c r="B41" s="583"/>
      <c r="C41" s="580"/>
      <c r="D41" s="580"/>
      <c r="E41" s="580"/>
      <c r="F41" s="584">
        <f>SUM(F39:F39)</f>
        <v>0</v>
      </c>
      <c r="G41" s="549"/>
      <c r="H41" s="549"/>
      <c r="I41" s="549"/>
      <c r="J41" s="549"/>
      <c r="K41" s="549"/>
    </row>
    <row r="44" spans="1:12" ht="15.75" customHeight="1" x14ac:dyDescent="0.2">
      <c r="F44" s="585"/>
    </row>
  </sheetData>
  <mergeCells count="26">
    <mergeCell ref="C4:F4"/>
    <mergeCell ref="G4:H4"/>
    <mergeCell ref="A1:K1"/>
    <mergeCell ref="A2:K2"/>
    <mergeCell ref="C3:F3"/>
    <mergeCell ref="G3:I3"/>
    <mergeCell ref="J3:K3"/>
    <mergeCell ref="C5:F5"/>
    <mergeCell ref="G5:H5"/>
    <mergeCell ref="C6:F6"/>
    <mergeCell ref="G6:H6"/>
    <mergeCell ref="C7:F7"/>
    <mergeCell ref="G7:H7"/>
    <mergeCell ref="C8:F8"/>
    <mergeCell ref="G8:H8"/>
    <mergeCell ref="C9:F9"/>
    <mergeCell ref="G9:H9"/>
    <mergeCell ref="C10:F10"/>
    <mergeCell ref="G10:H10"/>
    <mergeCell ref="A12:F12"/>
    <mergeCell ref="G12:J12"/>
    <mergeCell ref="K12:K39"/>
    <mergeCell ref="A14:J14"/>
    <mergeCell ref="A23:J23"/>
    <mergeCell ref="A24:J24"/>
    <mergeCell ref="A32:J32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N38"/>
  <sheetViews>
    <sheetView workbookViewId="0"/>
  </sheetViews>
  <sheetFormatPr defaultColWidth="12.5703125" defaultRowHeight="15.75" customHeight="1" x14ac:dyDescent="0.2"/>
  <cols>
    <col min="1" max="4" width="18.85546875" style="765" customWidth="1"/>
    <col min="5" max="5" width="34.28515625" style="765" customWidth="1"/>
    <col min="6" max="6" width="7.5703125" style="765" customWidth="1"/>
    <col min="7" max="20" width="18.85546875" style="765" customWidth="1"/>
    <col min="21" max="16384" width="12.5703125" style="765"/>
  </cols>
  <sheetData>
    <row r="1" spans="1:14" ht="12.75" x14ac:dyDescent="0.2">
      <c r="A1" s="764" t="s">
        <v>575</v>
      </c>
      <c r="B1" s="764" t="s">
        <v>576</v>
      </c>
      <c r="C1" s="764" t="s">
        <v>577</v>
      </c>
      <c r="D1" s="764" t="s">
        <v>578</v>
      </c>
      <c r="E1" s="764" t="s">
        <v>579</v>
      </c>
      <c r="F1" s="764"/>
      <c r="G1" s="764" t="s">
        <v>580</v>
      </c>
      <c r="H1" s="764" t="s">
        <v>581</v>
      </c>
      <c r="I1" s="764" t="s">
        <v>582</v>
      </c>
      <c r="J1" s="764" t="s">
        <v>583</v>
      </c>
      <c r="K1" s="764" t="s">
        <v>584</v>
      </c>
      <c r="L1" s="764" t="s">
        <v>585</v>
      </c>
      <c r="M1" s="764" t="s">
        <v>586</v>
      </c>
      <c r="N1" s="764" t="s">
        <v>587</v>
      </c>
    </row>
    <row r="2" spans="1:14" ht="12.75" x14ac:dyDescent="0.2">
      <c r="A2" s="766">
        <v>45304.439470532408</v>
      </c>
      <c r="B2" s="767" t="s">
        <v>588</v>
      </c>
      <c r="C2" s="767" t="s">
        <v>589</v>
      </c>
      <c r="D2" s="767" t="s">
        <v>590</v>
      </c>
      <c r="E2" s="767" t="s">
        <v>591</v>
      </c>
      <c r="F2" s="767"/>
      <c r="G2" s="767" t="s">
        <v>592</v>
      </c>
      <c r="H2" s="767">
        <v>280261</v>
      </c>
      <c r="I2" s="767"/>
      <c r="J2" s="764" t="s">
        <v>395</v>
      </c>
      <c r="K2" s="764">
        <v>10</v>
      </c>
    </row>
    <row r="3" spans="1:14" ht="12.75" x14ac:dyDescent="0.2">
      <c r="A3" s="766">
        <v>45304.550203738429</v>
      </c>
      <c r="B3" s="767" t="s">
        <v>593</v>
      </c>
      <c r="C3" s="767" t="s">
        <v>594</v>
      </c>
      <c r="D3" s="767" t="s">
        <v>595</v>
      </c>
      <c r="E3" s="767" t="s">
        <v>596</v>
      </c>
      <c r="F3" s="767"/>
      <c r="G3" s="767" t="s">
        <v>592</v>
      </c>
      <c r="H3" s="767">
        <v>280270</v>
      </c>
      <c r="I3" s="767"/>
      <c r="K3" s="764" t="s">
        <v>597</v>
      </c>
    </row>
    <row r="4" spans="1:14" ht="12.75" x14ac:dyDescent="0.2">
      <c r="A4" s="766">
        <v>45304.569957951389</v>
      </c>
      <c r="B4" s="767" t="s">
        <v>598</v>
      </c>
      <c r="C4" s="767" t="s">
        <v>599</v>
      </c>
      <c r="D4" s="767" t="s">
        <v>600</v>
      </c>
      <c r="E4" s="767"/>
      <c r="F4" s="767"/>
      <c r="G4" s="767" t="s">
        <v>601</v>
      </c>
      <c r="H4" s="767">
        <v>280286</v>
      </c>
      <c r="I4" s="767"/>
      <c r="J4" s="764" t="s">
        <v>602</v>
      </c>
      <c r="L4" s="764">
        <v>10</v>
      </c>
      <c r="M4" s="764" t="s">
        <v>330</v>
      </c>
    </row>
    <row r="5" spans="1:14" ht="12.75" x14ac:dyDescent="0.2">
      <c r="A5" s="766">
        <v>45305.677342048613</v>
      </c>
      <c r="B5" s="767" t="s">
        <v>593</v>
      </c>
      <c r="C5" s="767" t="s">
        <v>603</v>
      </c>
      <c r="D5" s="767" t="s">
        <v>600</v>
      </c>
      <c r="E5" s="767" t="s">
        <v>604</v>
      </c>
      <c r="F5" s="767"/>
      <c r="G5" s="767" t="s">
        <v>592</v>
      </c>
      <c r="H5" s="767">
        <v>280287</v>
      </c>
      <c r="I5" s="767"/>
      <c r="K5" s="764">
        <v>10</v>
      </c>
    </row>
    <row r="6" spans="1:14" ht="12.75" x14ac:dyDescent="0.2">
      <c r="A6" s="766">
        <v>45305.702709537036</v>
      </c>
      <c r="B6" s="767" t="s">
        <v>593</v>
      </c>
      <c r="C6" s="767" t="s">
        <v>589</v>
      </c>
      <c r="D6" s="767" t="s">
        <v>605</v>
      </c>
      <c r="E6" s="767"/>
      <c r="F6" s="767"/>
      <c r="G6" s="767" t="s">
        <v>601</v>
      </c>
      <c r="H6" s="767">
        <v>280303</v>
      </c>
      <c r="I6" s="767"/>
      <c r="J6" s="764" t="s">
        <v>606</v>
      </c>
      <c r="L6" s="764">
        <v>10</v>
      </c>
      <c r="M6" s="764" t="s">
        <v>330</v>
      </c>
    </row>
    <row r="7" spans="1:14" ht="12.75" x14ac:dyDescent="0.2">
      <c r="A7" s="766">
        <v>45305.734607569444</v>
      </c>
      <c r="B7" s="767" t="s">
        <v>588</v>
      </c>
      <c r="C7" s="767" t="s">
        <v>589</v>
      </c>
      <c r="D7" s="767" t="s">
        <v>591</v>
      </c>
      <c r="E7" s="767" t="s">
        <v>590</v>
      </c>
      <c r="F7" s="767"/>
      <c r="G7" s="767" t="s">
        <v>592</v>
      </c>
      <c r="H7" s="767">
        <v>280303</v>
      </c>
      <c r="I7" s="767"/>
      <c r="J7" s="764" t="s">
        <v>395</v>
      </c>
      <c r="K7" s="764">
        <v>10</v>
      </c>
    </row>
    <row r="8" spans="1:14" ht="12.75" x14ac:dyDescent="0.2">
      <c r="A8" s="766">
        <v>45305.73597494213</v>
      </c>
      <c r="B8" s="767" t="s">
        <v>588</v>
      </c>
      <c r="C8" s="767" t="s">
        <v>589</v>
      </c>
      <c r="D8" s="767" t="s">
        <v>590</v>
      </c>
      <c r="E8" s="767"/>
      <c r="F8" s="767"/>
      <c r="G8" s="767" t="s">
        <v>601</v>
      </c>
      <c r="H8" s="767">
        <v>280311</v>
      </c>
      <c r="I8" s="767">
        <f>H8-H2</f>
        <v>50</v>
      </c>
      <c r="J8" s="764" t="s">
        <v>395</v>
      </c>
      <c r="L8" s="764">
        <v>10</v>
      </c>
      <c r="M8" s="764" t="s">
        <v>607</v>
      </c>
      <c r="N8" s="764" t="s">
        <v>608</v>
      </c>
    </row>
    <row r="9" spans="1:14" ht="12.75" x14ac:dyDescent="0.2">
      <c r="A9" s="768">
        <v>45322.73082449074</v>
      </c>
      <c r="B9" s="764" t="s">
        <v>609</v>
      </c>
      <c r="C9" s="764" t="s">
        <v>610</v>
      </c>
      <c r="D9" s="764" t="s">
        <v>611</v>
      </c>
      <c r="G9" s="764" t="s">
        <v>601</v>
      </c>
      <c r="H9" s="764">
        <v>280321</v>
      </c>
      <c r="J9" s="764" t="s">
        <v>612</v>
      </c>
      <c r="L9" s="764">
        <v>10</v>
      </c>
      <c r="M9" s="764" t="s">
        <v>330</v>
      </c>
    </row>
    <row r="10" spans="1:14" ht="12.75" x14ac:dyDescent="0.2">
      <c r="A10" s="768">
        <v>45330.393841365745</v>
      </c>
      <c r="B10" s="764" t="s">
        <v>613</v>
      </c>
      <c r="C10" s="764" t="s">
        <v>614</v>
      </c>
      <c r="D10" s="764" t="s">
        <v>611</v>
      </c>
      <c r="E10" s="764" t="s">
        <v>615</v>
      </c>
      <c r="F10" s="764"/>
      <c r="G10" s="764" t="s">
        <v>592</v>
      </c>
      <c r="H10" s="764">
        <v>280321</v>
      </c>
      <c r="J10" s="764" t="s">
        <v>616</v>
      </c>
      <c r="K10" s="769" t="s">
        <v>617</v>
      </c>
    </row>
    <row r="11" spans="1:14" ht="12.75" x14ac:dyDescent="0.2">
      <c r="A11" s="768">
        <v>45330.397062291668</v>
      </c>
      <c r="B11" s="764" t="s">
        <v>618</v>
      </c>
      <c r="C11" s="764" t="s">
        <v>614</v>
      </c>
      <c r="D11" s="764" t="s">
        <v>611</v>
      </c>
      <c r="G11" s="764" t="s">
        <v>601</v>
      </c>
      <c r="H11" s="764">
        <v>280720</v>
      </c>
      <c r="I11" s="764">
        <f t="shared" ref="I11:I12" si="0">H11-H10</f>
        <v>399</v>
      </c>
      <c r="J11" s="764" t="s">
        <v>395</v>
      </c>
      <c r="L11" s="769" t="s">
        <v>617</v>
      </c>
      <c r="M11" s="764" t="s">
        <v>607</v>
      </c>
      <c r="N11" s="764">
        <v>45</v>
      </c>
    </row>
    <row r="12" spans="1:14" ht="12.75" x14ac:dyDescent="0.2">
      <c r="A12" s="768">
        <v>45374.367645347222</v>
      </c>
      <c r="B12" s="764" t="s">
        <v>619</v>
      </c>
      <c r="C12" s="764" t="s">
        <v>620</v>
      </c>
      <c r="D12" s="764" t="s">
        <v>611</v>
      </c>
      <c r="G12" s="764" t="s">
        <v>601</v>
      </c>
      <c r="H12" s="764">
        <v>280786</v>
      </c>
      <c r="I12" s="764">
        <f t="shared" si="0"/>
        <v>66</v>
      </c>
      <c r="J12" s="764" t="s">
        <v>621</v>
      </c>
      <c r="L12" s="764">
        <v>10</v>
      </c>
      <c r="M12" s="764" t="s">
        <v>330</v>
      </c>
    </row>
    <row r="13" spans="1:14" ht="12.75" x14ac:dyDescent="0.2">
      <c r="A13" s="766">
        <v>45374.37578988426</v>
      </c>
      <c r="B13" s="767" t="s">
        <v>588</v>
      </c>
      <c r="C13" s="767" t="s">
        <v>589</v>
      </c>
      <c r="D13" s="767" t="s">
        <v>622</v>
      </c>
      <c r="E13" s="767" t="s">
        <v>591</v>
      </c>
      <c r="F13" s="767"/>
      <c r="G13" s="767" t="s">
        <v>592</v>
      </c>
      <c r="H13" s="767">
        <v>280786</v>
      </c>
      <c r="I13" s="767"/>
      <c r="J13" s="764" t="s">
        <v>395</v>
      </c>
      <c r="K13" s="764">
        <v>10</v>
      </c>
    </row>
    <row r="14" spans="1:14" ht="12.75" x14ac:dyDescent="0.2">
      <c r="A14" s="766">
        <v>45374.389729027782</v>
      </c>
      <c r="B14" s="767" t="s">
        <v>623</v>
      </c>
      <c r="C14" s="767" t="s">
        <v>589</v>
      </c>
      <c r="D14" s="767" t="s">
        <v>591</v>
      </c>
      <c r="E14" s="767"/>
      <c r="F14" s="767"/>
      <c r="G14" s="767" t="s">
        <v>601</v>
      </c>
      <c r="H14" s="767">
        <v>280795</v>
      </c>
      <c r="I14" s="767"/>
      <c r="J14" s="764" t="s">
        <v>395</v>
      </c>
      <c r="L14" s="764">
        <v>9</v>
      </c>
      <c r="M14" s="764" t="s">
        <v>330</v>
      </c>
    </row>
    <row r="15" spans="1:14" ht="12.75" x14ac:dyDescent="0.2">
      <c r="A15" s="766">
        <v>45374.533985173606</v>
      </c>
      <c r="B15" s="767" t="s">
        <v>588</v>
      </c>
      <c r="C15" s="767" t="s">
        <v>624</v>
      </c>
      <c r="D15" s="767" t="s">
        <v>591</v>
      </c>
      <c r="E15" s="767" t="s">
        <v>277</v>
      </c>
      <c r="F15" s="767"/>
      <c r="G15" s="767" t="s">
        <v>592</v>
      </c>
      <c r="H15" s="767">
        <v>280795</v>
      </c>
      <c r="I15" s="767"/>
      <c r="K15" s="764">
        <v>9</v>
      </c>
    </row>
    <row r="16" spans="1:14" ht="12.75" x14ac:dyDescent="0.2">
      <c r="A16" s="766">
        <v>45374.556885439815</v>
      </c>
      <c r="B16" s="767" t="s">
        <v>588</v>
      </c>
      <c r="C16" s="767" t="s">
        <v>589</v>
      </c>
      <c r="D16" s="767" t="s">
        <v>277</v>
      </c>
      <c r="E16" s="767"/>
      <c r="F16" s="767"/>
      <c r="G16" s="767" t="s">
        <v>601</v>
      </c>
      <c r="H16" s="767">
        <v>280812</v>
      </c>
      <c r="I16" s="767"/>
      <c r="J16" s="764" t="s">
        <v>625</v>
      </c>
      <c r="L16" s="764">
        <v>9</v>
      </c>
      <c r="M16" s="764" t="s">
        <v>330</v>
      </c>
    </row>
    <row r="17" spans="1:14" ht="12.75" x14ac:dyDescent="0.2">
      <c r="A17" s="766">
        <v>45375.685983020834</v>
      </c>
      <c r="B17" s="767" t="s">
        <v>588</v>
      </c>
      <c r="C17" s="767" t="s">
        <v>268</v>
      </c>
      <c r="D17" s="767" t="s">
        <v>600</v>
      </c>
      <c r="E17" s="767" t="s">
        <v>626</v>
      </c>
      <c r="F17" s="767"/>
      <c r="G17" s="767" t="s">
        <v>592</v>
      </c>
      <c r="H17" s="767">
        <v>280812</v>
      </c>
      <c r="I17" s="767"/>
      <c r="J17" s="764" t="s">
        <v>395</v>
      </c>
      <c r="K17" s="764">
        <v>9</v>
      </c>
    </row>
    <row r="18" spans="1:14" ht="12.75" x14ac:dyDescent="0.2">
      <c r="A18" s="766">
        <v>45375.70093762732</v>
      </c>
      <c r="B18" s="767" t="s">
        <v>623</v>
      </c>
      <c r="C18" s="767" t="s">
        <v>589</v>
      </c>
      <c r="D18" s="767" t="s">
        <v>627</v>
      </c>
      <c r="E18" s="767"/>
      <c r="F18" s="767"/>
      <c r="G18" s="767" t="s">
        <v>601</v>
      </c>
      <c r="H18" s="767">
        <v>280829</v>
      </c>
      <c r="I18" s="767"/>
      <c r="L18" s="764">
        <v>9</v>
      </c>
      <c r="M18" s="764" t="s">
        <v>330</v>
      </c>
    </row>
    <row r="19" spans="1:14" ht="12.75" x14ac:dyDescent="0.2">
      <c r="A19" s="766">
        <v>45375.785008275459</v>
      </c>
      <c r="B19" s="767" t="s">
        <v>588</v>
      </c>
      <c r="C19" s="767" t="s">
        <v>589</v>
      </c>
      <c r="D19" s="767" t="s">
        <v>591</v>
      </c>
      <c r="E19" s="767" t="s">
        <v>622</v>
      </c>
      <c r="F19" s="767"/>
      <c r="G19" s="767" t="s">
        <v>592</v>
      </c>
      <c r="H19" s="767">
        <v>280829</v>
      </c>
      <c r="I19" s="767"/>
      <c r="K19" s="764">
        <v>9</v>
      </c>
    </row>
    <row r="20" spans="1:14" ht="12.75" x14ac:dyDescent="0.2">
      <c r="A20" s="766">
        <v>45375.804263182872</v>
      </c>
      <c r="B20" s="767" t="s">
        <v>588</v>
      </c>
      <c r="C20" s="767" t="s">
        <v>589</v>
      </c>
      <c r="D20" s="767" t="s">
        <v>622</v>
      </c>
      <c r="E20" s="767"/>
      <c r="F20" s="767"/>
      <c r="G20" s="767" t="s">
        <v>601</v>
      </c>
      <c r="H20" s="767">
        <v>280837</v>
      </c>
      <c r="I20" s="767">
        <f>H20-H13</f>
        <v>51</v>
      </c>
      <c r="L20" s="764">
        <v>10</v>
      </c>
      <c r="M20" s="764" t="s">
        <v>607</v>
      </c>
      <c r="N20" s="770">
        <v>12</v>
      </c>
    </row>
    <row r="21" spans="1:14" ht="12.75" x14ac:dyDescent="0.2">
      <c r="A21" s="768">
        <v>45380.379519282404</v>
      </c>
      <c r="B21" s="764" t="s">
        <v>628</v>
      </c>
      <c r="C21" s="764" t="s">
        <v>277</v>
      </c>
      <c r="D21" s="764" t="s">
        <v>629</v>
      </c>
      <c r="E21" s="764" t="s">
        <v>630</v>
      </c>
      <c r="F21" s="764"/>
      <c r="G21" s="764" t="s">
        <v>592</v>
      </c>
      <c r="H21" s="764">
        <v>280837</v>
      </c>
      <c r="J21" s="764" t="s">
        <v>395</v>
      </c>
      <c r="K21" s="764">
        <v>10</v>
      </c>
    </row>
    <row r="22" spans="1:14" ht="12.75" x14ac:dyDescent="0.2">
      <c r="A22" s="768">
        <v>45382.849242673612</v>
      </c>
      <c r="B22" s="764" t="s">
        <v>631</v>
      </c>
      <c r="C22" s="764" t="s">
        <v>277</v>
      </c>
      <c r="D22" s="764" t="s">
        <v>632</v>
      </c>
      <c r="G22" s="764" t="s">
        <v>601</v>
      </c>
      <c r="H22" s="764">
        <v>281069</v>
      </c>
      <c r="I22" s="764">
        <f>H22-H21</f>
        <v>232</v>
      </c>
      <c r="J22" s="764" t="s">
        <v>633</v>
      </c>
      <c r="L22" s="764">
        <v>10</v>
      </c>
      <c r="M22" s="764" t="s">
        <v>607</v>
      </c>
      <c r="N22" s="764">
        <v>35.19</v>
      </c>
    </row>
    <row r="23" spans="1:14" ht="12.75" x14ac:dyDescent="0.2">
      <c r="A23" s="771">
        <v>45390.298657407409</v>
      </c>
      <c r="B23" s="764" t="s">
        <v>619</v>
      </c>
      <c r="C23" s="764" t="s">
        <v>620</v>
      </c>
      <c r="D23" s="764" t="s">
        <v>634</v>
      </c>
      <c r="E23" s="764" t="s">
        <v>635</v>
      </c>
      <c r="F23" s="764"/>
      <c r="G23" s="764" t="s">
        <v>601</v>
      </c>
      <c r="H23" s="764">
        <v>281084</v>
      </c>
      <c r="J23" s="764" t="s">
        <v>633</v>
      </c>
      <c r="K23" s="764">
        <v>10</v>
      </c>
      <c r="L23" s="764">
        <v>10</v>
      </c>
      <c r="M23" s="764" t="s">
        <v>330</v>
      </c>
      <c r="N23" s="764" t="s">
        <v>636</v>
      </c>
    </row>
    <row r="24" spans="1:14" ht="12.75" x14ac:dyDescent="0.2">
      <c r="A24" s="772">
        <v>45393.708333333336</v>
      </c>
      <c r="B24" s="773" t="s">
        <v>619</v>
      </c>
      <c r="C24" s="773" t="s">
        <v>637</v>
      </c>
      <c r="D24" s="773" t="s">
        <v>634</v>
      </c>
      <c r="E24" s="773" t="s">
        <v>637</v>
      </c>
      <c r="F24" s="773"/>
      <c r="G24" s="773" t="s">
        <v>592</v>
      </c>
      <c r="H24" s="773">
        <v>281084</v>
      </c>
      <c r="I24" s="773"/>
      <c r="J24" s="773"/>
      <c r="K24" s="773">
        <v>10</v>
      </c>
      <c r="L24" s="764">
        <v>10</v>
      </c>
    </row>
    <row r="25" spans="1:14" ht="12.75" x14ac:dyDescent="0.2">
      <c r="A25" s="772">
        <v>45393.791666666664</v>
      </c>
      <c r="B25" s="773" t="s">
        <v>619</v>
      </c>
      <c r="C25" s="773" t="s">
        <v>637</v>
      </c>
      <c r="D25" s="773" t="s">
        <v>634</v>
      </c>
      <c r="E25" s="773" t="s">
        <v>637</v>
      </c>
      <c r="F25" s="773"/>
      <c r="G25" s="773" t="s">
        <v>601</v>
      </c>
      <c r="H25" s="773">
        <v>281162</v>
      </c>
      <c r="I25" s="773">
        <f>H25-H24</f>
        <v>78</v>
      </c>
      <c r="J25" s="773"/>
      <c r="K25" s="773">
        <v>10</v>
      </c>
      <c r="L25" s="764">
        <v>10</v>
      </c>
      <c r="N25" s="764" t="s">
        <v>638</v>
      </c>
    </row>
    <row r="26" spans="1:14" ht="12.75" x14ac:dyDescent="0.2">
      <c r="A26" s="768">
        <v>45394.780513344907</v>
      </c>
      <c r="B26" s="764" t="s">
        <v>588</v>
      </c>
      <c r="C26" s="764" t="s">
        <v>589</v>
      </c>
      <c r="D26" s="764" t="s">
        <v>639</v>
      </c>
      <c r="E26" s="764" t="s">
        <v>640</v>
      </c>
      <c r="F26" s="764" t="s">
        <v>641</v>
      </c>
      <c r="G26" s="764" t="s">
        <v>592</v>
      </c>
      <c r="H26" s="764">
        <v>281162</v>
      </c>
      <c r="K26" s="764">
        <v>10</v>
      </c>
    </row>
    <row r="27" spans="1:14" ht="12.75" x14ac:dyDescent="0.2">
      <c r="A27" s="768">
        <v>45394.795028506946</v>
      </c>
      <c r="B27" s="764" t="s">
        <v>588</v>
      </c>
      <c r="C27" s="764" t="s">
        <v>589</v>
      </c>
      <c r="D27" s="764" t="s">
        <v>627</v>
      </c>
      <c r="F27" s="764" t="s">
        <v>641</v>
      </c>
      <c r="G27" s="764" t="s">
        <v>601</v>
      </c>
      <c r="H27" s="764">
        <v>281171</v>
      </c>
      <c r="L27" s="764">
        <v>10</v>
      </c>
      <c r="M27" s="764" t="s">
        <v>330</v>
      </c>
    </row>
    <row r="28" spans="1:14" ht="12.75" x14ac:dyDescent="0.2">
      <c r="A28" s="768">
        <v>45394.855198483798</v>
      </c>
      <c r="B28" s="764" t="s">
        <v>588</v>
      </c>
      <c r="C28" s="764" t="s">
        <v>589</v>
      </c>
      <c r="D28" s="764" t="s">
        <v>642</v>
      </c>
      <c r="E28" s="764" t="s">
        <v>643</v>
      </c>
      <c r="F28" s="764" t="s">
        <v>641</v>
      </c>
      <c r="G28" s="764" t="s">
        <v>592</v>
      </c>
      <c r="H28" s="764">
        <v>281171</v>
      </c>
      <c r="J28" s="764" t="s">
        <v>644</v>
      </c>
    </row>
    <row r="29" spans="1:14" ht="12.75" x14ac:dyDescent="0.2">
      <c r="A29" s="768">
        <v>45396.610864259259</v>
      </c>
      <c r="B29" s="764" t="s">
        <v>588</v>
      </c>
      <c r="C29" s="764" t="s">
        <v>589</v>
      </c>
      <c r="D29" s="764" t="s">
        <v>645</v>
      </c>
      <c r="E29" s="764" t="s">
        <v>591</v>
      </c>
      <c r="F29" s="764" t="s">
        <v>641</v>
      </c>
      <c r="G29" s="764" t="s">
        <v>592</v>
      </c>
      <c r="H29" s="764">
        <v>281332</v>
      </c>
      <c r="K29" s="764">
        <v>7</v>
      </c>
    </row>
    <row r="30" spans="1:14" ht="12.75" x14ac:dyDescent="0.2">
      <c r="A30" s="768">
        <v>45396.695873842589</v>
      </c>
      <c r="B30" s="764" t="s">
        <v>588</v>
      </c>
      <c r="C30" s="764" t="s">
        <v>589</v>
      </c>
      <c r="D30" s="764" t="s">
        <v>591</v>
      </c>
      <c r="F30" s="764" t="s">
        <v>641</v>
      </c>
      <c r="G30" s="764" t="s">
        <v>601</v>
      </c>
      <c r="H30" s="764">
        <v>281493</v>
      </c>
      <c r="I30" s="764">
        <f>H30-H26</f>
        <v>331</v>
      </c>
      <c r="L30" s="764">
        <v>5</v>
      </c>
      <c r="M30" s="764" t="s">
        <v>330</v>
      </c>
    </row>
    <row r="31" spans="1:14" ht="12.75" x14ac:dyDescent="0.2">
      <c r="A31" s="768">
        <v>45402.529273055552</v>
      </c>
      <c r="B31" s="764" t="s">
        <v>588</v>
      </c>
      <c r="C31" s="764" t="s">
        <v>589</v>
      </c>
      <c r="D31" s="764" t="s">
        <v>646</v>
      </c>
      <c r="E31" s="764" t="s">
        <v>647</v>
      </c>
      <c r="F31" s="764"/>
      <c r="G31" s="764" t="s">
        <v>592</v>
      </c>
      <c r="H31" s="764">
        <v>281493</v>
      </c>
      <c r="J31" s="764" t="s">
        <v>395</v>
      </c>
      <c r="K31" s="764">
        <v>10</v>
      </c>
    </row>
    <row r="32" spans="1:14" ht="12.75" x14ac:dyDescent="0.2">
      <c r="A32" s="768">
        <v>45402.565612962964</v>
      </c>
      <c r="B32" s="764" t="s">
        <v>588</v>
      </c>
      <c r="C32" s="764" t="s">
        <v>589</v>
      </c>
      <c r="D32" s="764" t="s">
        <v>648</v>
      </c>
      <c r="G32" s="764" t="s">
        <v>601</v>
      </c>
      <c r="H32" s="764">
        <v>281544</v>
      </c>
      <c r="J32" s="764" t="s">
        <v>395</v>
      </c>
      <c r="L32" s="764">
        <v>10</v>
      </c>
      <c r="M32" s="764" t="s">
        <v>330</v>
      </c>
    </row>
    <row r="33" spans="1:14" ht="12.75" x14ac:dyDescent="0.2">
      <c r="A33" s="768">
        <v>45403.691798645828</v>
      </c>
      <c r="B33" s="764" t="s">
        <v>588</v>
      </c>
      <c r="C33" s="764" t="s">
        <v>589</v>
      </c>
      <c r="D33" s="764" t="s">
        <v>649</v>
      </c>
      <c r="E33" s="764" t="s">
        <v>591</v>
      </c>
      <c r="F33" s="764"/>
      <c r="G33" s="764" t="s">
        <v>592</v>
      </c>
      <c r="H33" s="764">
        <v>281544</v>
      </c>
      <c r="K33" s="764">
        <v>10</v>
      </c>
    </row>
    <row r="34" spans="1:14" ht="12.75" x14ac:dyDescent="0.2">
      <c r="A34" s="768">
        <v>45403.720746053237</v>
      </c>
      <c r="B34" s="764" t="s">
        <v>588</v>
      </c>
      <c r="C34" s="764" t="s">
        <v>589</v>
      </c>
      <c r="D34" s="764" t="s">
        <v>591</v>
      </c>
      <c r="G34" s="764" t="s">
        <v>601</v>
      </c>
      <c r="H34" s="764">
        <v>281577</v>
      </c>
      <c r="L34" s="764">
        <v>9</v>
      </c>
      <c r="M34" s="764" t="s">
        <v>330</v>
      </c>
    </row>
    <row r="35" spans="1:14" ht="12.75" x14ac:dyDescent="0.2">
      <c r="A35" s="768">
        <v>45404.703845115742</v>
      </c>
      <c r="B35" s="764" t="s">
        <v>650</v>
      </c>
      <c r="C35" s="764" t="s">
        <v>268</v>
      </c>
      <c r="D35" s="764" t="s">
        <v>651</v>
      </c>
      <c r="E35" s="764" t="s">
        <v>652</v>
      </c>
      <c r="F35" s="764"/>
      <c r="G35" s="764" t="s">
        <v>592</v>
      </c>
      <c r="H35" s="764">
        <v>281577</v>
      </c>
      <c r="K35" s="764">
        <v>9</v>
      </c>
    </row>
    <row r="36" spans="1:14" ht="12.75" x14ac:dyDescent="0.2">
      <c r="A36" s="768">
        <v>45404.735013171296</v>
      </c>
      <c r="B36" s="764" t="s">
        <v>653</v>
      </c>
      <c r="C36" s="764" t="s">
        <v>268</v>
      </c>
      <c r="D36" s="764" t="s">
        <v>654</v>
      </c>
      <c r="G36" s="764" t="s">
        <v>601</v>
      </c>
      <c r="H36" s="764">
        <v>281587</v>
      </c>
      <c r="I36" s="765">
        <f>H36-H31</f>
        <v>94</v>
      </c>
      <c r="L36" s="764">
        <v>10</v>
      </c>
      <c r="M36" s="764" t="s">
        <v>607</v>
      </c>
      <c r="N36" s="764" t="s">
        <v>655</v>
      </c>
    </row>
    <row r="37" spans="1:14" ht="12.75" x14ac:dyDescent="0.2">
      <c r="A37" s="768">
        <v>45410.718526990742</v>
      </c>
      <c r="B37" s="764" t="s">
        <v>656</v>
      </c>
      <c r="C37" s="764" t="s">
        <v>656</v>
      </c>
      <c r="D37" s="764" t="s">
        <v>611</v>
      </c>
      <c r="G37" s="764" t="s">
        <v>601</v>
      </c>
      <c r="H37" s="764">
        <v>281606</v>
      </c>
      <c r="I37" s="765">
        <f>H37-H36</f>
        <v>19</v>
      </c>
      <c r="J37" s="764" t="s">
        <v>657</v>
      </c>
      <c r="L37" s="764">
        <v>10</v>
      </c>
      <c r="M37" s="764" t="s">
        <v>330</v>
      </c>
    </row>
    <row r="38" spans="1:14" ht="12.75" x14ac:dyDescent="0.2">
      <c r="A38" s="768">
        <v>45413.454493784724</v>
      </c>
      <c r="B38" s="764" t="s">
        <v>658</v>
      </c>
      <c r="C38" s="764" t="s">
        <v>659</v>
      </c>
      <c r="D38" s="764" t="s">
        <v>660</v>
      </c>
      <c r="E38" s="764" t="s">
        <v>637</v>
      </c>
      <c r="F38" s="764"/>
      <c r="G38" s="764" t="s">
        <v>592</v>
      </c>
      <c r="H38" s="764">
        <v>281606</v>
      </c>
      <c r="J38" s="764" t="s">
        <v>661</v>
      </c>
      <c r="K38" s="764" t="s">
        <v>662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I17"/>
  <sheetViews>
    <sheetView workbookViewId="0"/>
  </sheetViews>
  <sheetFormatPr defaultColWidth="8.85546875" defaultRowHeight="12" x14ac:dyDescent="0.2"/>
  <cols>
    <col min="2" max="2" width="20.42578125" bestFit="1" customWidth="1"/>
    <col min="3" max="4" width="9.85546875" bestFit="1" customWidth="1"/>
    <col min="5" max="6" width="22.140625" customWidth="1"/>
    <col min="7" max="7" width="19.140625" customWidth="1"/>
    <col min="8" max="8" width="12.42578125" customWidth="1"/>
  </cols>
  <sheetData>
    <row r="1" spans="1:9" x14ac:dyDescent="0.2">
      <c r="A1" t="s">
        <v>352</v>
      </c>
      <c r="B1" t="s">
        <v>663</v>
      </c>
      <c r="C1" t="s">
        <v>664</v>
      </c>
      <c r="D1" t="s">
        <v>665</v>
      </c>
      <c r="E1" t="s">
        <v>666</v>
      </c>
      <c r="F1" t="s">
        <v>667</v>
      </c>
      <c r="G1" t="s">
        <v>668</v>
      </c>
      <c r="H1" t="s">
        <v>669</v>
      </c>
      <c r="I1" t="s">
        <v>670</v>
      </c>
    </row>
    <row r="2" spans="1:9" ht="15" x14ac:dyDescent="0.25">
      <c r="A2" s="699" t="s">
        <v>17</v>
      </c>
      <c r="B2" t="s">
        <v>13</v>
      </c>
      <c r="C2" s="713">
        <v>45317</v>
      </c>
      <c r="D2" s="713">
        <v>45318</v>
      </c>
      <c r="E2" t="s">
        <v>671</v>
      </c>
      <c r="G2">
        <v>55</v>
      </c>
      <c r="H2">
        <v>56</v>
      </c>
      <c r="I2" t="s">
        <v>17</v>
      </c>
    </row>
    <row r="3" spans="1:9" x14ac:dyDescent="0.2">
      <c r="A3" t="s">
        <v>369</v>
      </c>
      <c r="C3" s="713">
        <v>45395</v>
      </c>
      <c r="D3" s="713">
        <v>45396</v>
      </c>
      <c r="G3">
        <v>45</v>
      </c>
      <c r="H3">
        <v>50</v>
      </c>
      <c r="I3" t="s">
        <v>21</v>
      </c>
    </row>
    <row r="4" spans="1:9" x14ac:dyDescent="0.2">
      <c r="A4" t="s">
        <v>368</v>
      </c>
      <c r="C4" s="713">
        <v>45566</v>
      </c>
      <c r="D4" s="713">
        <v>45567</v>
      </c>
      <c r="G4">
        <v>1</v>
      </c>
      <c r="H4">
        <v>1</v>
      </c>
      <c r="I4" t="s">
        <v>21</v>
      </c>
    </row>
    <row r="5" spans="1:9" x14ac:dyDescent="0.2">
      <c r="A5" t="s">
        <v>337</v>
      </c>
      <c r="C5" s="713">
        <v>45429</v>
      </c>
      <c r="D5" s="713">
        <v>45431</v>
      </c>
      <c r="G5">
        <v>160</v>
      </c>
      <c r="H5">
        <v>149</v>
      </c>
      <c r="I5" t="s">
        <v>24</v>
      </c>
    </row>
    <row r="6" spans="1:9" x14ac:dyDescent="0.2">
      <c r="A6" t="s">
        <v>340</v>
      </c>
      <c r="C6" s="713">
        <v>45292</v>
      </c>
      <c r="D6" s="713">
        <v>45657</v>
      </c>
      <c r="G6">
        <v>1</v>
      </c>
      <c r="H6">
        <v>1</v>
      </c>
      <c r="I6" t="s">
        <v>34</v>
      </c>
    </row>
    <row r="7" spans="1:9" x14ac:dyDescent="0.2">
      <c r="A7" t="s">
        <v>333</v>
      </c>
      <c r="C7" s="713">
        <v>45292</v>
      </c>
      <c r="D7" s="713">
        <v>45657</v>
      </c>
      <c r="G7">
        <v>1</v>
      </c>
      <c r="H7">
        <v>1</v>
      </c>
      <c r="I7" t="s">
        <v>32</v>
      </c>
    </row>
    <row r="8" spans="1:9" x14ac:dyDescent="0.2">
      <c r="A8" t="s">
        <v>335</v>
      </c>
      <c r="C8" s="713">
        <v>45292</v>
      </c>
      <c r="D8" s="713">
        <v>45657</v>
      </c>
      <c r="G8">
        <v>1</v>
      </c>
      <c r="H8">
        <v>1</v>
      </c>
      <c r="I8" t="s">
        <v>34</v>
      </c>
    </row>
    <row r="9" spans="1:9" x14ac:dyDescent="0.2">
      <c r="A9" t="s">
        <v>176</v>
      </c>
      <c r="C9" s="713">
        <v>45292</v>
      </c>
      <c r="D9" s="713">
        <v>45657</v>
      </c>
      <c r="G9">
        <v>1</v>
      </c>
      <c r="H9">
        <v>1</v>
      </c>
      <c r="I9" t="s">
        <v>34</v>
      </c>
    </row>
    <row r="10" spans="1:9" x14ac:dyDescent="0.2">
      <c r="A10" t="s">
        <v>336</v>
      </c>
      <c r="C10" s="713">
        <v>45292</v>
      </c>
      <c r="D10" s="713">
        <v>45657</v>
      </c>
      <c r="G10">
        <v>1</v>
      </c>
      <c r="H10">
        <v>1</v>
      </c>
      <c r="I10" t="s">
        <v>34</v>
      </c>
    </row>
    <row r="11" spans="1:9" ht="15" x14ac:dyDescent="0.25">
      <c r="A11" s="699" t="s">
        <v>332</v>
      </c>
      <c r="C11" s="713">
        <v>45409</v>
      </c>
      <c r="D11" s="713">
        <v>45416</v>
      </c>
      <c r="G11">
        <v>14</v>
      </c>
      <c r="H11">
        <v>14</v>
      </c>
      <c r="I11" t="s">
        <v>27</v>
      </c>
    </row>
    <row r="12" spans="1:9" ht="15" x14ac:dyDescent="0.25">
      <c r="A12" s="874" t="s">
        <v>456</v>
      </c>
      <c r="C12" s="713">
        <v>45592</v>
      </c>
      <c r="D12" s="713">
        <v>45599</v>
      </c>
      <c r="E12" t="s">
        <v>672</v>
      </c>
      <c r="G12">
        <v>1</v>
      </c>
      <c r="H12">
        <v>1</v>
      </c>
      <c r="I12" t="s">
        <v>27</v>
      </c>
    </row>
    <row r="13" spans="1:9" ht="15" x14ac:dyDescent="0.25">
      <c r="A13" s="699" t="s">
        <v>328</v>
      </c>
    </row>
    <row r="14" spans="1:9" ht="15" x14ac:dyDescent="0.25">
      <c r="A14" s="699" t="s">
        <v>331</v>
      </c>
    </row>
    <row r="15" spans="1:9" x14ac:dyDescent="0.2">
      <c r="A15" t="s">
        <v>673</v>
      </c>
      <c r="I15" t="s">
        <v>14</v>
      </c>
    </row>
    <row r="16" spans="1:9" x14ac:dyDescent="0.2">
      <c r="A16" t="s">
        <v>674</v>
      </c>
      <c r="I16" t="s">
        <v>15</v>
      </c>
    </row>
    <row r="17" spans="1:1" ht="15" x14ac:dyDescent="0.25">
      <c r="A17" s="874" t="s">
        <v>378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0000000}">
          <x14:formula1>
            <xm:f>'Budget analytique'!$C$6:$C$28</xm:f>
          </x14:formula1>
          <xm:sqref>I6:I18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1"/>
  </sheetPr>
  <dimension ref="A1"/>
  <sheetViews>
    <sheetView workbookViewId="0"/>
  </sheetViews>
  <sheetFormatPr defaultColWidth="9.140625" defaultRowHeight="12" x14ac:dyDescent="0.2"/>
  <sheetData/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0260-AFB5-4F64-AE48-267CB419D52B}">
  <dimension ref="A1:N62"/>
  <sheetViews>
    <sheetView tabSelected="1" workbookViewId="0">
      <selection activeCell="A12" sqref="A12:F12"/>
    </sheetView>
  </sheetViews>
  <sheetFormatPr defaultRowHeight="12" x14ac:dyDescent="0.2"/>
  <cols>
    <col min="1" max="1" width="49.28515625" style="1193" bestFit="1" customWidth="1"/>
    <col min="2" max="2" width="33.28515625" style="1193" customWidth="1"/>
    <col min="3" max="3" width="6.42578125" style="1193" bestFit="1" customWidth="1"/>
    <col min="4" max="4" width="7.42578125" style="1193" bestFit="1" customWidth="1"/>
    <col min="5" max="5" width="13.28515625" style="1193" customWidth="1"/>
    <col min="6" max="6" width="15.7109375" style="1193" customWidth="1"/>
    <col min="7" max="7" width="5" style="1193" customWidth="1"/>
    <col min="8" max="8" width="6.85546875" style="1193" customWidth="1"/>
    <col min="9" max="9" width="11.5703125" style="1193" customWidth="1"/>
    <col min="10" max="11" width="13.7109375" style="1193" customWidth="1"/>
  </cols>
  <sheetData>
    <row r="1" spans="1:14" ht="25.5" x14ac:dyDescent="0.35">
      <c r="A1" s="1284" t="s">
        <v>246</v>
      </c>
      <c r="B1" s="1284"/>
      <c r="C1" s="1284"/>
      <c r="D1" s="1284"/>
      <c r="E1" s="1284"/>
      <c r="F1" s="1284"/>
      <c r="G1" s="1284"/>
      <c r="H1" s="1284"/>
      <c r="I1" s="1284"/>
      <c r="J1" s="1284"/>
      <c r="K1" s="1284"/>
    </row>
    <row r="2" spans="1:14" ht="12.75" x14ac:dyDescent="0.2">
      <c r="A2" s="1285" t="s">
        <v>183</v>
      </c>
      <c r="B2" s="1285"/>
      <c r="C2" s="1286"/>
      <c r="D2" s="1286"/>
      <c r="E2" s="1286"/>
      <c r="F2" s="1286"/>
      <c r="G2" s="1286"/>
      <c r="H2" s="1286"/>
      <c r="I2" s="1286"/>
      <c r="J2" s="1286"/>
      <c r="K2" s="1286"/>
    </row>
    <row r="3" spans="1:14" ht="15" x14ac:dyDescent="0.2">
      <c r="A3" s="1125" t="s">
        <v>184</v>
      </c>
      <c r="B3" s="1126"/>
      <c r="C3" s="1287" t="s">
        <v>185</v>
      </c>
      <c r="D3" s="1288"/>
      <c r="E3" s="1288"/>
      <c r="F3" s="1289"/>
      <c r="G3" s="1290" t="s">
        <v>186</v>
      </c>
      <c r="H3" s="1291"/>
      <c r="I3" s="1292"/>
      <c r="J3" s="1293" t="s">
        <v>187</v>
      </c>
      <c r="K3" s="1294"/>
    </row>
    <row r="4" spans="1:14" ht="12.75" x14ac:dyDescent="0.2">
      <c r="A4" s="1125" t="s">
        <v>188</v>
      </c>
      <c r="B4" s="1126"/>
      <c r="C4" s="1279"/>
      <c r="D4" s="1280"/>
      <c r="E4" s="1280"/>
      <c r="F4" s="1281"/>
      <c r="G4" s="1282" t="s">
        <v>189</v>
      </c>
      <c r="H4" s="1283"/>
      <c r="I4" s="1127">
        <v>15</v>
      </c>
      <c r="J4" s="1128" t="s">
        <v>189</v>
      </c>
      <c r="K4" s="1129">
        <v>30</v>
      </c>
      <c r="L4" t="s">
        <v>190</v>
      </c>
      <c r="M4">
        <f>K4/I4</f>
        <v>2</v>
      </c>
    </row>
    <row r="5" spans="1:14" ht="12.75" x14ac:dyDescent="0.2">
      <c r="A5" s="1125" t="s">
        <v>191</v>
      </c>
      <c r="B5" s="1126" t="s">
        <v>192</v>
      </c>
      <c r="C5" s="1295">
        <v>190</v>
      </c>
      <c r="D5" s="1296"/>
      <c r="E5" s="1296"/>
      <c r="F5" s="1297"/>
      <c r="G5" s="1282" t="s">
        <v>193</v>
      </c>
      <c r="H5" s="1283"/>
      <c r="I5" s="1127">
        <v>13</v>
      </c>
      <c r="J5" s="1128" t="s">
        <v>193</v>
      </c>
      <c r="K5" s="1129">
        <v>90</v>
      </c>
      <c r="L5" t="s">
        <v>190</v>
      </c>
      <c r="M5">
        <f>K5/I5</f>
        <v>6.9230769230769234</v>
      </c>
    </row>
    <row r="6" spans="1:14" ht="12.75" x14ac:dyDescent="0.2">
      <c r="A6" s="1125" t="s">
        <v>194</v>
      </c>
      <c r="B6" s="1126" t="s">
        <v>195</v>
      </c>
      <c r="C6" s="1295">
        <v>175</v>
      </c>
      <c r="D6" s="1296"/>
      <c r="E6" s="1296"/>
      <c r="F6" s="1297"/>
      <c r="G6" s="1282" t="s">
        <v>196</v>
      </c>
      <c r="H6" s="1283"/>
      <c r="I6" s="1127">
        <v>12</v>
      </c>
      <c r="J6" s="1128" t="s">
        <v>197</v>
      </c>
      <c r="K6" s="1129">
        <v>80</v>
      </c>
      <c r="L6" t="s">
        <v>190</v>
      </c>
      <c r="M6">
        <f>K6/I6</f>
        <v>6.666666666666667</v>
      </c>
    </row>
    <row r="7" spans="1:14" ht="12.75" x14ac:dyDescent="0.2">
      <c r="A7" s="1125" t="s">
        <v>198</v>
      </c>
      <c r="B7" s="1126"/>
      <c r="C7" s="1298">
        <v>45851</v>
      </c>
      <c r="D7" s="1299"/>
      <c r="E7" s="1299"/>
      <c r="F7" s="1300"/>
      <c r="G7" s="1282" t="s">
        <v>199</v>
      </c>
      <c r="H7" s="1283"/>
      <c r="I7" s="1127">
        <v>0</v>
      </c>
      <c r="J7" s="1128" t="s">
        <v>199</v>
      </c>
      <c r="K7" s="1129">
        <v>0</v>
      </c>
      <c r="L7" t="s">
        <v>190</v>
      </c>
      <c r="M7" t="e">
        <f>K7/I7</f>
        <v>#DIV/0!</v>
      </c>
      <c r="N7" t="s">
        <v>200</v>
      </c>
    </row>
    <row r="8" spans="1:14" ht="12.75" x14ac:dyDescent="0.2">
      <c r="A8" s="1125" t="s">
        <v>201</v>
      </c>
      <c r="B8" s="1126"/>
      <c r="C8" s="1298">
        <v>45859</v>
      </c>
      <c r="D8" s="1299"/>
      <c r="E8" s="1299"/>
      <c r="F8" s="1300"/>
      <c r="G8" s="1282" t="s">
        <v>202</v>
      </c>
      <c r="H8" s="1283"/>
      <c r="I8" s="1127">
        <v>10</v>
      </c>
      <c r="J8" s="1130" t="s">
        <v>3</v>
      </c>
      <c r="K8" s="1131">
        <f>SUM(K4:K7)</f>
        <v>200</v>
      </c>
    </row>
    <row r="9" spans="1:14" ht="12.75" x14ac:dyDescent="0.2">
      <c r="A9" s="1125" t="s">
        <v>203</v>
      </c>
      <c r="B9" s="1126"/>
      <c r="C9" s="1301">
        <f>C8-C7+1</f>
        <v>9</v>
      </c>
      <c r="D9" s="1302"/>
      <c r="E9" s="1302"/>
      <c r="F9" s="1303"/>
      <c r="G9" s="1282"/>
      <c r="H9" s="1283"/>
      <c r="I9" s="1127"/>
      <c r="J9" s="1132"/>
      <c r="K9" s="1133"/>
    </row>
    <row r="10" spans="1:14" ht="12.75" x14ac:dyDescent="0.2">
      <c r="A10" s="1125" t="s">
        <v>204</v>
      </c>
      <c r="B10" s="1126"/>
      <c r="C10" s="1304">
        <f>K8</f>
        <v>200</v>
      </c>
      <c r="D10" s="1305"/>
      <c r="E10" s="1305"/>
      <c r="F10" s="1306"/>
      <c r="G10" s="1307" t="s">
        <v>3</v>
      </c>
      <c r="H10" s="1308"/>
      <c r="I10" s="1134">
        <f>SUM(I4:I9)</f>
        <v>50</v>
      </c>
      <c r="J10" s="1135" t="s">
        <v>205</v>
      </c>
      <c r="K10" s="1136">
        <f>(K8+I10)*C9</f>
        <v>2250</v>
      </c>
    </row>
    <row r="11" spans="1:14" ht="15" x14ac:dyDescent="0.25">
      <c r="A11" s="1137"/>
      <c r="B11" s="1137"/>
      <c r="C11" s="1137"/>
      <c r="D11" s="1137"/>
      <c r="E11" s="1137"/>
      <c r="F11" s="1137"/>
      <c r="G11" s="1137"/>
      <c r="H11" s="1310"/>
      <c r="I11" s="1310"/>
      <c r="J11" s="1137"/>
      <c r="K11" s="1137"/>
    </row>
    <row r="12" spans="1:14" ht="75" x14ac:dyDescent="0.2">
      <c r="A12" s="1311" t="s">
        <v>206</v>
      </c>
      <c r="B12" s="1311"/>
      <c r="C12" s="1311"/>
      <c r="D12" s="1311"/>
      <c r="E12" s="1311"/>
      <c r="F12" s="1312"/>
      <c r="G12" s="1313" t="s">
        <v>207</v>
      </c>
      <c r="H12" s="1314"/>
      <c r="I12" s="1314"/>
      <c r="J12" s="1315"/>
      <c r="K12" s="1138"/>
    </row>
    <row r="13" spans="1:14" ht="15" x14ac:dyDescent="0.25">
      <c r="A13" s="1137"/>
      <c r="B13" s="1137"/>
      <c r="C13" s="1139" t="s">
        <v>208</v>
      </c>
      <c r="D13" s="1140" t="s">
        <v>209</v>
      </c>
      <c r="E13" s="1141" t="s">
        <v>210</v>
      </c>
      <c r="F13" s="1142" t="s">
        <v>211</v>
      </c>
      <c r="G13" s="1143" t="s">
        <v>208</v>
      </c>
      <c r="H13" s="1140" t="s">
        <v>209</v>
      </c>
      <c r="I13" s="1141" t="s">
        <v>210</v>
      </c>
      <c r="J13" s="1144" t="s">
        <v>211</v>
      </c>
      <c r="K13" s="1144" t="s">
        <v>212</v>
      </c>
    </row>
    <row r="14" spans="1:14" ht="18.75" x14ac:dyDescent="0.3">
      <c r="A14" s="1316" t="s">
        <v>213</v>
      </c>
      <c r="B14" s="1317"/>
      <c r="C14" s="1318"/>
      <c r="D14" s="1318"/>
      <c r="E14" s="1318"/>
      <c r="F14" s="1318"/>
      <c r="G14" s="1318"/>
      <c r="H14" s="1318"/>
      <c r="I14" s="1318"/>
      <c r="J14" s="1318"/>
      <c r="K14" s="1145"/>
    </row>
    <row r="15" spans="1:14" ht="15" x14ac:dyDescent="0.25">
      <c r="A15" s="1319" t="s">
        <v>214</v>
      </c>
      <c r="B15" s="1320"/>
      <c r="C15" s="1320"/>
      <c r="D15" s="1320"/>
      <c r="E15" s="1320"/>
      <c r="F15" s="1320"/>
      <c r="G15" s="1320"/>
      <c r="H15" s="1320"/>
      <c r="I15" s="1320"/>
      <c r="J15" s="1321"/>
      <c r="K15" s="1145"/>
    </row>
    <row r="16" spans="1:14" ht="12.75" x14ac:dyDescent="0.2">
      <c r="A16" s="1146" t="s">
        <v>215</v>
      </c>
      <c r="B16" s="1147" t="s">
        <v>106</v>
      </c>
      <c r="C16" s="1139">
        <f>C9</f>
        <v>9</v>
      </c>
      <c r="D16" s="1148">
        <f>C10+I10</f>
        <v>250</v>
      </c>
      <c r="E16" s="1149">
        <v>9</v>
      </c>
      <c r="F16" s="1150">
        <f t="shared" ref="F16:F21" si="0">C16*D16*E16</f>
        <v>20250</v>
      </c>
      <c r="G16" s="1151"/>
      <c r="H16" s="1148"/>
      <c r="I16" s="1152"/>
      <c r="J16" s="1150"/>
      <c r="K16" s="1150"/>
    </row>
    <row r="17" spans="1:11" ht="12.75" x14ac:dyDescent="0.2">
      <c r="A17" s="1146" t="s">
        <v>216</v>
      </c>
      <c r="B17" s="1147" t="s">
        <v>107</v>
      </c>
      <c r="C17" s="1139">
        <f>$C$9</f>
        <v>9</v>
      </c>
      <c r="D17" s="1148">
        <f>$C$10+$I$10</f>
        <v>250</v>
      </c>
      <c r="E17" s="1149">
        <v>0.1</v>
      </c>
      <c r="F17" s="1150">
        <f t="shared" si="0"/>
        <v>225</v>
      </c>
      <c r="G17" s="1151"/>
      <c r="H17" s="1148"/>
      <c r="I17" s="1152"/>
      <c r="J17" s="1150"/>
      <c r="K17" s="1150"/>
    </row>
    <row r="18" spans="1:11" ht="12.75" x14ac:dyDescent="0.2">
      <c r="A18" s="1146" t="s">
        <v>833</v>
      </c>
      <c r="B18" s="1147" t="s">
        <v>118</v>
      </c>
      <c r="C18" s="1139">
        <v>1</v>
      </c>
      <c r="D18" s="1148">
        <v>1</v>
      </c>
      <c r="E18" s="1149">
        <v>500</v>
      </c>
      <c r="F18" s="1150">
        <f t="shared" si="0"/>
        <v>500</v>
      </c>
      <c r="G18" s="1151"/>
      <c r="H18" s="1148"/>
      <c r="I18" s="1152"/>
      <c r="J18" s="1150"/>
      <c r="K18" s="1150"/>
    </row>
    <row r="19" spans="1:11" ht="12.75" x14ac:dyDescent="0.2">
      <c r="A19" s="1146" t="s">
        <v>217</v>
      </c>
      <c r="B19" s="1147" t="s">
        <v>120</v>
      </c>
      <c r="C19" s="1139">
        <v>1</v>
      </c>
      <c r="D19" s="1148">
        <f t="shared" ref="D19:D20" si="1">$C$10+$I$10</f>
        <v>250</v>
      </c>
      <c r="E19" s="1149">
        <v>2.5</v>
      </c>
      <c r="F19" s="1150">
        <f t="shared" si="0"/>
        <v>625</v>
      </c>
      <c r="G19" s="1151"/>
      <c r="H19" s="1148"/>
      <c r="I19" s="1152"/>
      <c r="J19" s="1150"/>
      <c r="K19" s="1150"/>
    </row>
    <row r="20" spans="1:11" ht="12.75" x14ac:dyDescent="0.2">
      <c r="A20" s="1146" t="s">
        <v>834</v>
      </c>
      <c r="B20" s="1147" t="s">
        <v>120</v>
      </c>
      <c r="C20" s="1139">
        <v>1</v>
      </c>
      <c r="D20" s="1148">
        <f t="shared" si="1"/>
        <v>250</v>
      </c>
      <c r="E20" s="1149">
        <v>6</v>
      </c>
      <c r="F20" s="1150">
        <f t="shared" si="0"/>
        <v>1500</v>
      </c>
      <c r="G20" s="1151"/>
      <c r="H20" s="1148"/>
      <c r="I20" s="1152"/>
      <c r="J20" s="1150"/>
      <c r="K20" s="1150"/>
    </row>
    <row r="21" spans="1:11" ht="12.75" x14ac:dyDescent="0.2">
      <c r="A21" s="1146" t="s">
        <v>218</v>
      </c>
      <c r="B21" s="1147" t="s">
        <v>107</v>
      </c>
      <c r="C21" s="1139">
        <v>9</v>
      </c>
      <c r="D21" s="1148">
        <f>$C$10+$I$10</f>
        <v>250</v>
      </c>
      <c r="E21" s="1149">
        <v>2.1</v>
      </c>
      <c r="F21" s="1150">
        <f t="shared" si="0"/>
        <v>4725</v>
      </c>
      <c r="G21" s="1151"/>
      <c r="H21" s="1148"/>
      <c r="I21" s="1154"/>
      <c r="J21" s="1150"/>
      <c r="K21" s="1150"/>
    </row>
    <row r="22" spans="1:11" ht="12.75" x14ac:dyDescent="0.2">
      <c r="A22" s="1146" t="s">
        <v>835</v>
      </c>
      <c r="B22" s="1147" t="s">
        <v>107</v>
      </c>
      <c r="C22" s="1139">
        <v>5</v>
      </c>
      <c r="D22" s="1148">
        <f>$I$6+$K$6</f>
        <v>92</v>
      </c>
      <c r="E22" s="1149">
        <v>2</v>
      </c>
      <c r="F22" s="1150">
        <f t="shared" ref="F22:F25" si="2">C22*D22*E22</f>
        <v>920</v>
      </c>
      <c r="G22" s="1151"/>
      <c r="H22" s="1148"/>
      <c r="I22" s="1152"/>
      <c r="J22" s="1150"/>
      <c r="K22" s="1150"/>
    </row>
    <row r="23" spans="1:11" ht="13.5" thickBot="1" x14ac:dyDescent="0.25">
      <c r="A23" s="1146" t="s">
        <v>219</v>
      </c>
      <c r="B23" s="1147" t="s">
        <v>108</v>
      </c>
      <c r="C23" s="1139">
        <v>1</v>
      </c>
      <c r="D23" s="1148">
        <v>1</v>
      </c>
      <c r="E23" s="1149">
        <v>875</v>
      </c>
      <c r="F23" s="1150">
        <f t="shared" si="2"/>
        <v>875</v>
      </c>
      <c r="G23" s="1151"/>
      <c r="H23" s="1148"/>
      <c r="I23" s="1152"/>
      <c r="J23" s="1150"/>
      <c r="K23" s="1150"/>
    </row>
    <row r="24" spans="1:11" ht="12.75" x14ac:dyDescent="0.2">
      <c r="A24" s="1146" t="s">
        <v>220</v>
      </c>
      <c r="B24" s="1155" t="s">
        <v>116</v>
      </c>
      <c r="C24" s="1139">
        <v>1</v>
      </c>
      <c r="D24" s="1148">
        <f>$C$10+$I$10</f>
        <v>250</v>
      </c>
      <c r="E24" s="1149">
        <v>8</v>
      </c>
      <c r="F24" s="1150">
        <f t="shared" si="2"/>
        <v>2000</v>
      </c>
      <c r="G24" s="1151"/>
      <c r="H24" s="1148"/>
      <c r="I24" s="1152"/>
      <c r="J24" s="1150"/>
      <c r="K24" s="1150"/>
    </row>
    <row r="25" spans="1:11" ht="12.75" x14ac:dyDescent="0.2">
      <c r="A25" s="1146" t="s">
        <v>221</v>
      </c>
      <c r="B25" s="1147" t="s">
        <v>110</v>
      </c>
      <c r="C25" s="1139">
        <v>1</v>
      </c>
      <c r="D25" s="1148">
        <v>1</v>
      </c>
      <c r="E25" s="1149">
        <v>100</v>
      </c>
      <c r="F25" s="1150">
        <f t="shared" si="2"/>
        <v>100</v>
      </c>
      <c r="G25" s="1151"/>
      <c r="H25" s="1148"/>
      <c r="I25" s="1152"/>
      <c r="J25" s="1150"/>
      <c r="K25" s="1150"/>
    </row>
    <row r="26" spans="1:11" ht="15" x14ac:dyDescent="0.25">
      <c r="A26" s="1156" t="s">
        <v>222</v>
      </c>
      <c r="B26" s="1157"/>
      <c r="C26" s="1158"/>
      <c r="D26" s="1159"/>
      <c r="E26" s="1160"/>
      <c r="F26" s="1161">
        <f>SUM(F16:F25)</f>
        <v>31720</v>
      </c>
      <c r="G26" s="1162"/>
      <c r="H26" s="1163"/>
      <c r="I26" s="1164"/>
      <c r="J26" s="1161"/>
      <c r="K26" s="1161"/>
    </row>
    <row r="27" spans="1:11" ht="18.75" x14ac:dyDescent="0.3">
      <c r="A27" s="1316" t="s">
        <v>223</v>
      </c>
      <c r="B27" s="1317"/>
      <c r="C27" s="1318"/>
      <c r="D27" s="1318"/>
      <c r="E27" s="1318"/>
      <c r="F27" s="1318"/>
      <c r="G27" s="1318"/>
      <c r="H27" s="1318"/>
      <c r="I27" s="1318"/>
      <c r="J27" s="1318"/>
      <c r="K27" s="1145"/>
    </row>
    <row r="28" spans="1:11" ht="15.75" x14ac:dyDescent="0.25">
      <c r="A28" s="1322" t="s">
        <v>224</v>
      </c>
      <c r="B28" s="1323"/>
      <c r="C28" s="1286"/>
      <c r="D28" s="1286"/>
      <c r="E28" s="1286"/>
      <c r="F28" s="1286"/>
      <c r="G28" s="1286"/>
      <c r="H28" s="1286"/>
      <c r="I28" s="1286"/>
      <c r="J28" s="1286"/>
      <c r="K28" s="1145"/>
    </row>
    <row r="29" spans="1:11" ht="15" x14ac:dyDescent="0.25">
      <c r="A29" s="1319" t="s">
        <v>225</v>
      </c>
      <c r="B29" s="1320"/>
      <c r="C29" s="1320"/>
      <c r="D29" s="1320"/>
      <c r="E29" s="1320"/>
      <c r="F29" s="1320"/>
      <c r="G29" s="1320"/>
      <c r="H29" s="1320"/>
      <c r="I29" s="1320"/>
      <c r="J29" s="1321"/>
      <c r="K29" s="1145"/>
    </row>
    <row r="30" spans="1:11" ht="12.75" x14ac:dyDescent="0.2">
      <c r="A30" s="1146" t="s">
        <v>836</v>
      </c>
      <c r="B30" s="1147" t="s">
        <v>124</v>
      </c>
      <c r="C30" s="1139">
        <f t="shared" ref="C30:C34" si="3">$C$9</f>
        <v>9</v>
      </c>
      <c r="D30" s="1148">
        <f>I$4+K$4+I$5+K$5+I$8</f>
        <v>158</v>
      </c>
      <c r="E30" s="1149">
        <v>2</v>
      </c>
      <c r="F30" s="1150">
        <f t="shared" ref="F30:F35" si="4">C30*D30*E30</f>
        <v>2844</v>
      </c>
      <c r="G30" s="1151"/>
      <c r="H30" s="1148"/>
      <c r="I30" s="1152"/>
      <c r="J30" s="1150"/>
      <c r="K30" s="1150"/>
    </row>
    <row r="31" spans="1:11" ht="12.75" x14ac:dyDescent="0.2">
      <c r="A31" s="1146" t="s">
        <v>837</v>
      </c>
      <c r="B31" s="1147" t="s">
        <v>124</v>
      </c>
      <c r="C31" s="1139">
        <v>4</v>
      </c>
      <c r="D31" s="1148">
        <f>$I$6+$K$6</f>
        <v>92</v>
      </c>
      <c r="E31" s="1149">
        <v>2</v>
      </c>
      <c r="F31" s="1150">
        <f t="shared" si="4"/>
        <v>736</v>
      </c>
      <c r="G31" s="1151"/>
      <c r="H31" s="1148"/>
      <c r="I31" s="1152"/>
      <c r="J31" s="1150"/>
      <c r="K31" s="1150"/>
    </row>
    <row r="32" spans="1:11" ht="12.75" x14ac:dyDescent="0.2">
      <c r="A32" s="1146" t="s">
        <v>838</v>
      </c>
      <c r="B32" s="1147" t="s">
        <v>124</v>
      </c>
      <c r="C32" s="1139">
        <v>5</v>
      </c>
      <c r="D32" s="1148">
        <f>$I$6+$K$6</f>
        <v>92</v>
      </c>
      <c r="E32" s="1149">
        <v>1</v>
      </c>
      <c r="F32" s="1150">
        <f t="shared" si="4"/>
        <v>460</v>
      </c>
      <c r="G32" s="1151"/>
      <c r="H32" s="1148"/>
      <c r="I32" s="1152"/>
      <c r="J32" s="1150"/>
      <c r="K32" s="1150"/>
    </row>
    <row r="33" spans="1:11" ht="12.75" x14ac:dyDescent="0.2">
      <c r="A33" s="1146" t="s">
        <v>227</v>
      </c>
      <c r="B33" s="1147" t="s">
        <v>126</v>
      </c>
      <c r="C33" s="1139">
        <v>9</v>
      </c>
      <c r="D33" s="1148">
        <v>2</v>
      </c>
      <c r="E33" s="1149">
        <v>60</v>
      </c>
      <c r="F33" s="1150">
        <f t="shared" si="4"/>
        <v>1080</v>
      </c>
      <c r="G33" s="1151"/>
      <c r="H33" s="1148"/>
      <c r="I33" s="1152"/>
      <c r="J33" s="1150"/>
      <c r="K33" s="1150"/>
    </row>
    <row r="34" spans="1:11" ht="12.75" x14ac:dyDescent="0.2">
      <c r="A34" s="1146" t="s">
        <v>228</v>
      </c>
      <c r="B34" s="1147" t="s">
        <v>132</v>
      </c>
      <c r="C34" s="1139">
        <f t="shared" si="3"/>
        <v>9</v>
      </c>
      <c r="D34" s="1148">
        <f t="shared" ref="D34" si="5">$C$10+$I$10</f>
        <v>250</v>
      </c>
      <c r="E34" s="1149">
        <v>0</v>
      </c>
      <c r="F34" s="1150">
        <f t="shared" si="4"/>
        <v>0</v>
      </c>
      <c r="G34" s="1151"/>
      <c r="H34" s="1148"/>
      <c r="I34" s="1152"/>
      <c r="J34" s="1150"/>
      <c r="K34" s="1150"/>
    </row>
    <row r="35" spans="1:11" ht="12.75" x14ac:dyDescent="0.2">
      <c r="A35" s="1146" t="s">
        <v>229</v>
      </c>
      <c r="B35" s="1147" t="s">
        <v>130</v>
      </c>
      <c r="C35" s="1139">
        <v>1</v>
      </c>
      <c r="D35" s="1148">
        <v>1</v>
      </c>
      <c r="E35" s="1149">
        <v>100</v>
      </c>
      <c r="F35" s="1150">
        <f t="shared" si="4"/>
        <v>100</v>
      </c>
      <c r="G35" s="1151"/>
      <c r="H35" s="1148"/>
      <c r="I35" s="1152"/>
      <c r="J35" s="1150"/>
      <c r="K35" s="1150"/>
    </row>
    <row r="36" spans="1:11" ht="15.75" x14ac:dyDescent="0.25">
      <c r="A36" s="1156" t="s">
        <v>230</v>
      </c>
      <c r="B36" s="1165"/>
      <c r="C36" s="1158"/>
      <c r="D36" s="1159"/>
      <c r="E36" s="1160"/>
      <c r="F36" s="1161">
        <f>SUM(F30:F35)</f>
        <v>5220</v>
      </c>
      <c r="G36" s="1162"/>
      <c r="H36" s="1163"/>
      <c r="I36" s="1164"/>
      <c r="J36" s="1161"/>
      <c r="K36" s="1161"/>
    </row>
    <row r="37" spans="1:11" ht="15" x14ac:dyDescent="0.25">
      <c r="A37" s="1319" t="s">
        <v>231</v>
      </c>
      <c r="B37" s="1320"/>
      <c r="C37" s="1320"/>
      <c r="D37" s="1320"/>
      <c r="E37" s="1320"/>
      <c r="F37" s="1320"/>
      <c r="G37" s="1320"/>
      <c r="H37" s="1320"/>
      <c r="I37" s="1320"/>
      <c r="J37" s="1324"/>
      <c r="K37" s="1145"/>
    </row>
    <row r="38" spans="1:11" ht="12.75" x14ac:dyDescent="0.2">
      <c r="A38" s="1146" t="s">
        <v>232</v>
      </c>
      <c r="B38" s="1147" t="s">
        <v>111</v>
      </c>
      <c r="C38" s="1139">
        <v>1</v>
      </c>
      <c r="D38" s="1148">
        <v>1</v>
      </c>
      <c r="E38" s="1149"/>
      <c r="F38" s="1150">
        <f t="shared" ref="F38:F41" si="6">C38*D38*E38</f>
        <v>0</v>
      </c>
      <c r="G38" s="1151"/>
      <c r="H38" s="1148"/>
      <c r="I38" s="1149"/>
      <c r="J38" s="1150"/>
      <c r="K38" s="1150"/>
    </row>
    <row r="39" spans="1:11" ht="12.75" x14ac:dyDescent="0.2">
      <c r="A39" s="1146" t="s">
        <v>233</v>
      </c>
      <c r="B39" s="1147" t="s">
        <v>138</v>
      </c>
      <c r="C39" s="1139">
        <v>1</v>
      </c>
      <c r="D39" s="1148">
        <v>1</v>
      </c>
      <c r="E39" s="1149">
        <v>700</v>
      </c>
      <c r="F39" s="1150">
        <f t="shared" si="6"/>
        <v>700</v>
      </c>
      <c r="G39" s="1151"/>
      <c r="H39" s="1148"/>
      <c r="I39" s="1149"/>
      <c r="J39" s="1150"/>
      <c r="K39" s="1150"/>
    </row>
    <row r="40" spans="1:11" ht="12.75" x14ac:dyDescent="0.2">
      <c r="A40" s="1146" t="s">
        <v>234</v>
      </c>
      <c r="B40" s="1147" t="s">
        <v>137</v>
      </c>
      <c r="C40" s="1139">
        <v>1</v>
      </c>
      <c r="D40" s="1148">
        <f>I$4+K$4+I$5+K$5+I$8</f>
        <v>158</v>
      </c>
      <c r="E40" s="1149"/>
      <c r="F40" s="1150">
        <f t="shared" ref="F40" si="7">C40*D40*E40</f>
        <v>0</v>
      </c>
      <c r="G40" s="1151"/>
      <c r="H40" s="1148"/>
      <c r="I40" s="1152"/>
      <c r="J40" s="1150"/>
      <c r="K40" s="1150"/>
    </row>
    <row r="41" spans="1:11" ht="12.75" x14ac:dyDescent="0.2">
      <c r="A41" s="1146" t="s">
        <v>235</v>
      </c>
      <c r="B41" s="1147" t="s">
        <v>137</v>
      </c>
      <c r="C41" s="1139">
        <v>1</v>
      </c>
      <c r="D41" s="1148">
        <f>$I$6+$K$6</f>
        <v>92</v>
      </c>
      <c r="E41" s="1149"/>
      <c r="F41" s="1150">
        <f t="shared" si="6"/>
        <v>0</v>
      </c>
      <c r="G41" s="1151"/>
      <c r="H41" s="1148"/>
      <c r="I41" s="1152"/>
      <c r="J41" s="1150"/>
      <c r="K41" s="1150"/>
    </row>
    <row r="42" spans="1:11" ht="15.75" x14ac:dyDescent="0.25">
      <c r="A42" s="1156" t="s">
        <v>236</v>
      </c>
      <c r="B42" s="1165"/>
      <c r="C42" s="1158"/>
      <c r="D42" s="1159"/>
      <c r="E42" s="1160"/>
      <c r="F42" s="1161">
        <f>SUM(F38:F41)</f>
        <v>700</v>
      </c>
      <c r="G42" s="1162"/>
      <c r="H42" s="1163"/>
      <c r="I42" s="1164"/>
      <c r="J42" s="1161"/>
      <c r="K42" s="1161"/>
    </row>
    <row r="43" spans="1:11" ht="15" x14ac:dyDescent="0.25">
      <c r="A43" s="1319" t="s">
        <v>237</v>
      </c>
      <c r="B43" s="1320"/>
      <c r="C43" s="1320"/>
      <c r="D43" s="1320"/>
      <c r="E43" s="1320"/>
      <c r="F43" s="1320"/>
      <c r="G43" s="1320"/>
      <c r="H43" s="1320"/>
      <c r="I43" s="1320"/>
      <c r="J43" s="1321"/>
      <c r="K43" s="1145"/>
    </row>
    <row r="44" spans="1:11" ht="12.75" x14ac:dyDescent="0.2">
      <c r="A44" s="1168" t="s">
        <v>238</v>
      </c>
      <c r="B44" s="1169"/>
      <c r="C44" s="1166"/>
      <c r="D44" s="1167"/>
      <c r="E44" s="1170"/>
      <c r="F44" s="1150">
        <f>F54*0.1</f>
        <v>3695</v>
      </c>
      <c r="G44" s="1166"/>
      <c r="H44" s="1167"/>
      <c r="I44" s="1170"/>
      <c r="J44" s="1150"/>
      <c r="K44" s="1150"/>
    </row>
    <row r="45" spans="1:11" ht="12.75" x14ac:dyDescent="0.2">
      <c r="A45" s="1156" t="s">
        <v>239</v>
      </c>
      <c r="B45" s="1171"/>
      <c r="C45" s="1166"/>
      <c r="D45" s="1167"/>
      <c r="E45" s="1170"/>
      <c r="F45" s="1161">
        <f>F44</f>
        <v>3695</v>
      </c>
      <c r="G45" s="1166"/>
      <c r="H45" s="1167"/>
      <c r="I45" s="1170"/>
      <c r="J45" s="1161"/>
      <c r="K45" s="1161"/>
    </row>
    <row r="46" spans="1:11" ht="15" x14ac:dyDescent="0.25">
      <c r="A46" s="1172"/>
      <c r="B46" s="1172"/>
      <c r="C46" s="1172"/>
      <c r="D46" s="1172"/>
      <c r="E46" s="1137"/>
      <c r="F46" s="1173"/>
      <c r="G46" s="1137"/>
      <c r="H46" s="1137"/>
      <c r="I46" s="1137"/>
      <c r="J46" s="1173"/>
      <c r="K46" s="1145"/>
    </row>
    <row r="47" spans="1:11" ht="15.75" thickBot="1" x14ac:dyDescent="0.3">
      <c r="A47" s="1172"/>
      <c r="B47" s="1172"/>
      <c r="C47" s="1172"/>
      <c r="D47" s="1172"/>
      <c r="E47" s="1137"/>
      <c r="F47" s="1173"/>
      <c r="G47" s="1137"/>
      <c r="H47" s="1137"/>
      <c r="I47" s="1137"/>
      <c r="J47" s="1173"/>
      <c r="K47" s="1145"/>
    </row>
    <row r="48" spans="1:11" ht="15.75" thickBot="1" x14ac:dyDescent="0.3">
      <c r="A48" s="1172"/>
      <c r="B48" s="1172"/>
      <c r="C48" s="1172"/>
      <c r="D48" s="1172"/>
      <c r="E48" s="1137"/>
      <c r="F48" s="1493" t="s">
        <v>206</v>
      </c>
      <c r="G48" s="1137"/>
      <c r="H48" s="1137"/>
      <c r="I48" s="1137"/>
      <c r="J48" s="1173"/>
      <c r="K48" s="1493" t="s">
        <v>569</v>
      </c>
    </row>
    <row r="49" spans="1:11" ht="16.5" thickTop="1" thickBot="1" x14ac:dyDescent="0.3">
      <c r="A49" s="1174" t="s">
        <v>240</v>
      </c>
      <c r="B49" s="1175"/>
      <c r="C49" s="1175"/>
      <c r="D49" s="1176"/>
      <c r="E49" s="1177"/>
      <c r="F49" s="1492">
        <f>F50+F51</f>
        <v>41335</v>
      </c>
      <c r="G49" s="1137"/>
      <c r="H49" s="1137"/>
      <c r="I49" s="1137"/>
      <c r="J49" s="1173"/>
      <c r="K49" s="1492">
        <f>K50+K51</f>
        <v>0</v>
      </c>
    </row>
    <row r="50" spans="1:11" ht="15.75" thickTop="1" x14ac:dyDescent="0.25">
      <c r="A50" s="1179" t="s">
        <v>241</v>
      </c>
      <c r="B50" s="1179"/>
      <c r="C50" s="1179"/>
      <c r="D50" s="1179"/>
      <c r="E50" s="1179"/>
      <c r="F50" s="1180">
        <f>F42+F45+F36</f>
        <v>9615</v>
      </c>
      <c r="G50" s="1137"/>
      <c r="H50" s="1137"/>
      <c r="I50" s="1137"/>
      <c r="J50" s="1173"/>
      <c r="K50" s="1180">
        <f>K42+K45+K36</f>
        <v>0</v>
      </c>
    </row>
    <row r="51" spans="1:11" ht="15" x14ac:dyDescent="0.25">
      <c r="A51" s="1179" t="s">
        <v>242</v>
      </c>
      <c r="B51" s="1179"/>
      <c r="C51" s="1179"/>
      <c r="D51" s="1179"/>
      <c r="E51" s="1179"/>
      <c r="F51" s="1180">
        <f>F26</f>
        <v>31720</v>
      </c>
      <c r="G51" s="1137"/>
      <c r="H51" s="1137"/>
      <c r="I51" s="1137"/>
      <c r="J51" s="1173"/>
      <c r="K51" s="1180">
        <f>K26</f>
        <v>0</v>
      </c>
    </row>
    <row r="52" spans="1:11" ht="15" x14ac:dyDescent="0.25">
      <c r="A52" s="1181"/>
      <c r="B52" s="1172"/>
      <c r="C52" s="1172"/>
      <c r="D52" s="1172"/>
      <c r="E52" s="1172"/>
      <c r="F52" s="1172"/>
      <c r="G52" s="1137"/>
      <c r="H52" s="1137"/>
      <c r="I52" s="1137"/>
      <c r="J52" s="1173"/>
      <c r="K52" s="1172"/>
    </row>
    <row r="53" spans="1:11" ht="15.75" thickBot="1" x14ac:dyDescent="0.3">
      <c r="A53" s="1182" t="s">
        <v>86</v>
      </c>
      <c r="B53" s="1183"/>
      <c r="C53" s="1183"/>
      <c r="D53" s="1184"/>
      <c r="E53" s="1185"/>
      <c r="F53" s="1186">
        <f>F54+F55</f>
        <v>41950</v>
      </c>
      <c r="G53" s="1137"/>
      <c r="H53" s="1137"/>
      <c r="I53" s="1137"/>
      <c r="J53" s="1173"/>
      <c r="K53" s="1186">
        <f>K54+K55</f>
        <v>0</v>
      </c>
    </row>
    <row r="54" spans="1:11" ht="15.75" thickTop="1" x14ac:dyDescent="0.25">
      <c r="A54" s="1179" t="s">
        <v>243</v>
      </c>
      <c r="B54" s="1179" t="s">
        <v>53</v>
      </c>
      <c r="C54" s="1179"/>
      <c r="D54" s="1179"/>
      <c r="E54" s="1179"/>
      <c r="F54" s="1180">
        <f>C5*(0.65*K8)+C6*(0.35*K8)</f>
        <v>36950</v>
      </c>
      <c r="G54" s="1137"/>
      <c r="H54" s="1137"/>
      <c r="I54" s="1137"/>
      <c r="J54" s="1173"/>
      <c r="K54" s="1180">
        <f>H5*(0.65*P8)+H6*(0.35*P8)</f>
        <v>0</v>
      </c>
    </row>
    <row r="55" spans="1:11" ht="15" x14ac:dyDescent="0.25">
      <c r="A55" s="1179" t="s">
        <v>244</v>
      </c>
      <c r="B55" s="1179" t="s">
        <v>63</v>
      </c>
      <c r="C55" s="1179"/>
      <c r="D55" s="1179"/>
      <c r="E55" s="1179"/>
      <c r="F55" s="1180">
        <v>5000</v>
      </c>
      <c r="G55" s="1137"/>
      <c r="H55" s="1137"/>
      <c r="I55" s="1137"/>
      <c r="J55" s="1173"/>
      <c r="K55" s="1180">
        <v>0</v>
      </c>
    </row>
    <row r="56" spans="1:11" ht="15" x14ac:dyDescent="0.25">
      <c r="A56" s="1181"/>
      <c r="B56" s="1172"/>
      <c r="C56" s="1172"/>
      <c r="D56" s="1172"/>
      <c r="E56" s="1172"/>
      <c r="F56" s="1172"/>
      <c r="G56" s="1137"/>
      <c r="H56" s="1137"/>
      <c r="I56" s="1137"/>
      <c r="J56" s="1173"/>
      <c r="K56" s="1172"/>
    </row>
    <row r="57" spans="1:11" ht="15" x14ac:dyDescent="0.25">
      <c r="A57" s="1187" t="s">
        <v>245</v>
      </c>
      <c r="B57" s="1188"/>
      <c r="C57" s="1188"/>
      <c r="D57" s="1189"/>
      <c r="E57" s="1189"/>
      <c r="F57" s="1190">
        <f>F53-F49</f>
        <v>615</v>
      </c>
      <c r="G57" s="1137"/>
      <c r="H57" s="1137"/>
      <c r="I57" s="1137"/>
      <c r="J57" s="1173"/>
      <c r="K57" s="1190">
        <f>K53-K49</f>
        <v>0</v>
      </c>
    </row>
    <row r="58" spans="1:11" ht="12.75" x14ac:dyDescent="0.2">
      <c r="A58" s="1191"/>
      <c r="B58" s="1191"/>
      <c r="C58" s="1191"/>
      <c r="D58" s="1191"/>
      <c r="E58" s="1191"/>
      <c r="F58" s="1191"/>
      <c r="G58" s="1191"/>
      <c r="H58" s="1191"/>
      <c r="I58" s="1191"/>
      <c r="J58" s="1191"/>
      <c r="K58" s="1191"/>
    </row>
    <row r="59" spans="1:11" x14ac:dyDescent="0.2">
      <c r="A59" s="1192"/>
      <c r="B59" s="1192"/>
      <c r="C59" s="1489" t="s">
        <v>851</v>
      </c>
      <c r="D59" s="1490"/>
      <c r="E59" s="1490"/>
      <c r="F59" s="1491">
        <f>F57/F53</f>
        <v>1.4660309892729441E-2</v>
      </c>
      <c r="G59" s="1192"/>
      <c r="H59" s="1192"/>
      <c r="I59" s="1192"/>
      <c r="J59" s="1192"/>
      <c r="K59" s="1192"/>
    </row>
    <row r="60" spans="1:11" x14ac:dyDescent="0.2">
      <c r="A60" s="1192"/>
      <c r="B60" s="1192"/>
      <c r="C60" s="1192"/>
      <c r="D60" s="1192"/>
      <c r="E60" s="1192"/>
      <c r="F60" s="1192"/>
      <c r="G60" s="1192"/>
      <c r="H60" s="1192"/>
      <c r="I60" s="1192"/>
      <c r="J60" s="1192"/>
      <c r="K60" s="1192"/>
    </row>
    <row r="61" spans="1:11" x14ac:dyDescent="0.2">
      <c r="A61" s="1192"/>
      <c r="B61" s="1192"/>
      <c r="C61" s="1192"/>
      <c r="D61" s="1192"/>
      <c r="E61" s="1192"/>
      <c r="F61" s="1192"/>
      <c r="G61" s="1192"/>
      <c r="H61" s="1192"/>
      <c r="I61" s="1192"/>
      <c r="J61" s="1192"/>
      <c r="K61" s="1192"/>
    </row>
    <row r="62" spans="1:11" x14ac:dyDescent="0.2">
      <c r="A62" s="1192"/>
      <c r="B62" s="1192"/>
      <c r="C62" s="1192"/>
      <c r="D62" s="1192"/>
      <c r="E62" s="1192"/>
      <c r="F62" s="1213"/>
      <c r="G62" s="1192"/>
      <c r="H62" s="1192"/>
      <c r="I62" s="1192"/>
      <c r="J62" s="1192"/>
      <c r="K62" s="1192"/>
    </row>
  </sheetData>
  <sheetProtection algorithmName="SHA-512" hashValue="BdObwbCMKbfzZj+5u6JKorqob9b7a5Wm6ZUt78YcuN4f6P7gdapeO+HZtyedoAXB5oKH1NiSEr5sJNHOTSLh2Q==" saltValue="fik8SZ75+hJKu7/oQwBmmg==" spinCount="100000" sheet="1" objects="1" scenarios="1"/>
  <mergeCells count="30">
    <mergeCell ref="C59:E59"/>
    <mergeCell ref="H11:I11"/>
    <mergeCell ref="A29:J29"/>
    <mergeCell ref="A37:J37"/>
    <mergeCell ref="A43:J43"/>
    <mergeCell ref="A12:F12"/>
    <mergeCell ref="G12:J12"/>
    <mergeCell ref="A14:J14"/>
    <mergeCell ref="A15:J15"/>
    <mergeCell ref="A27:J27"/>
    <mergeCell ref="A28:J28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K10"/>
  <sheetViews>
    <sheetView workbookViewId="0"/>
  </sheetViews>
  <sheetFormatPr defaultColWidth="11.42578125" defaultRowHeight="12" x14ac:dyDescent="0.2"/>
  <sheetData>
    <row r="1" spans="2:11" s="699" customFormat="1" ht="18.75" x14ac:dyDescent="0.3">
      <c r="B1" s="703" t="s">
        <v>337</v>
      </c>
      <c r="C1" s="702" t="s">
        <v>675</v>
      </c>
      <c r="D1" s="702" t="s">
        <v>676</v>
      </c>
      <c r="E1" s="702" t="s">
        <v>211</v>
      </c>
      <c r="F1" s="702" t="s">
        <v>677</v>
      </c>
      <c r="G1" s="702" t="s">
        <v>676</v>
      </c>
      <c r="H1" s="702" t="s">
        <v>211</v>
      </c>
      <c r="I1" s="702" t="s">
        <v>678</v>
      </c>
      <c r="J1" s="702"/>
      <c r="K1" s="702"/>
    </row>
    <row r="2" spans="2:11" s="699" customFormat="1" ht="15" x14ac:dyDescent="0.25">
      <c r="B2" s="874"/>
      <c r="I2" s="874"/>
    </row>
    <row r="3" spans="2:11" s="699" customFormat="1" ht="15" x14ac:dyDescent="0.25">
      <c r="B3" s="874" t="s">
        <v>679</v>
      </c>
      <c r="C3" s="699">
        <v>29</v>
      </c>
      <c r="D3" s="701">
        <v>65</v>
      </c>
      <c r="E3" s="700">
        <v>1885</v>
      </c>
      <c r="F3" s="699">
        <v>12</v>
      </c>
      <c r="G3" s="701">
        <v>0</v>
      </c>
      <c r="H3" s="700">
        <v>0</v>
      </c>
      <c r="I3" s="874" t="s">
        <v>680</v>
      </c>
    </row>
    <row r="4" spans="2:11" s="699" customFormat="1" ht="15" x14ac:dyDescent="0.25">
      <c r="B4" s="874" t="s">
        <v>681</v>
      </c>
      <c r="C4" s="699">
        <v>35</v>
      </c>
      <c r="D4" s="701">
        <v>65</v>
      </c>
      <c r="E4" s="700">
        <v>2275</v>
      </c>
      <c r="F4" s="699">
        <v>35</v>
      </c>
      <c r="G4" s="701">
        <v>0</v>
      </c>
      <c r="H4" s="700">
        <v>0</v>
      </c>
      <c r="I4" s="874" t="s">
        <v>680</v>
      </c>
    </row>
    <row r="5" spans="2:11" s="699" customFormat="1" ht="15" x14ac:dyDescent="0.25">
      <c r="B5" s="874" t="s">
        <v>682</v>
      </c>
      <c r="C5" s="699">
        <v>21</v>
      </c>
      <c r="D5" s="701">
        <v>65</v>
      </c>
      <c r="E5" s="700">
        <v>1365</v>
      </c>
      <c r="F5" s="699">
        <v>3</v>
      </c>
      <c r="G5" s="701">
        <v>0</v>
      </c>
      <c r="H5" s="700">
        <v>0</v>
      </c>
      <c r="I5" s="874" t="s">
        <v>680</v>
      </c>
    </row>
    <row r="6" spans="2:11" s="699" customFormat="1" ht="15" x14ac:dyDescent="0.25">
      <c r="B6" s="874" t="s">
        <v>683</v>
      </c>
      <c r="C6" s="699">
        <v>17</v>
      </c>
      <c r="D6" s="701">
        <v>65</v>
      </c>
      <c r="E6" s="700">
        <v>1105</v>
      </c>
      <c r="F6" s="699">
        <v>17</v>
      </c>
      <c r="G6" s="701">
        <v>0</v>
      </c>
      <c r="H6" s="700">
        <v>0</v>
      </c>
      <c r="I6" s="874" t="s">
        <v>680</v>
      </c>
    </row>
    <row r="7" spans="2:11" s="699" customFormat="1" ht="15" x14ac:dyDescent="0.25">
      <c r="B7" s="874" t="s">
        <v>684</v>
      </c>
      <c r="C7" s="699">
        <v>21</v>
      </c>
      <c r="D7" s="701">
        <v>65</v>
      </c>
      <c r="E7" s="700">
        <v>1365</v>
      </c>
      <c r="F7" s="699">
        <v>2</v>
      </c>
      <c r="G7" s="701">
        <v>0</v>
      </c>
      <c r="H7" s="700">
        <v>0</v>
      </c>
      <c r="I7" s="874" t="s">
        <v>680</v>
      </c>
    </row>
    <row r="8" spans="2:11" s="699" customFormat="1" ht="15" x14ac:dyDescent="0.25">
      <c r="B8" s="874" t="s">
        <v>685</v>
      </c>
      <c r="C8" s="699">
        <v>34</v>
      </c>
      <c r="D8" s="701">
        <v>65</v>
      </c>
      <c r="E8" s="700">
        <v>2210</v>
      </c>
      <c r="F8" s="699">
        <v>34</v>
      </c>
      <c r="G8" s="701">
        <v>0</v>
      </c>
      <c r="H8" s="700">
        <v>0</v>
      </c>
      <c r="I8" s="874" t="s">
        <v>680</v>
      </c>
    </row>
    <row r="9" spans="2:11" s="699" customFormat="1" ht="15.75" thickBot="1" x14ac:dyDescent="0.3">
      <c r="B9" s="874"/>
    </row>
    <row r="10" spans="2:11" s="699" customFormat="1" ht="15.75" thickBot="1" x14ac:dyDescent="0.3">
      <c r="B10" s="1028" t="s">
        <v>3</v>
      </c>
      <c r="C10" s="798">
        <v>157</v>
      </c>
      <c r="D10" s="798"/>
      <c r="E10" s="799">
        <v>10205</v>
      </c>
      <c r="H10" s="700">
        <v>0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7"/>
  <sheetViews>
    <sheetView workbookViewId="0"/>
  </sheetViews>
  <sheetFormatPr defaultColWidth="11.42578125" defaultRowHeight="12" x14ac:dyDescent="0.2"/>
  <sheetData>
    <row r="1" spans="1:4" x14ac:dyDescent="0.2">
      <c r="A1" t="s">
        <v>686</v>
      </c>
      <c r="D1">
        <f>SUM(B3:C21)</f>
        <v>40</v>
      </c>
    </row>
    <row r="2" spans="1:4" x14ac:dyDescent="0.2">
      <c r="B2" t="s">
        <v>687</v>
      </c>
      <c r="C2" t="s">
        <v>688</v>
      </c>
    </row>
    <row r="3" spans="1:4" x14ac:dyDescent="0.2">
      <c r="A3" t="s">
        <v>689</v>
      </c>
      <c r="B3">
        <v>1</v>
      </c>
      <c r="C3">
        <v>1</v>
      </c>
    </row>
    <row r="4" spans="1:4" x14ac:dyDescent="0.2">
      <c r="A4" t="s">
        <v>268</v>
      </c>
      <c r="B4">
        <v>1</v>
      </c>
    </row>
    <row r="5" spans="1:4" x14ac:dyDescent="0.2">
      <c r="A5" t="s">
        <v>269</v>
      </c>
      <c r="B5">
        <v>1</v>
      </c>
    </row>
    <row r="6" spans="1:4" x14ac:dyDescent="0.2">
      <c r="A6" t="s">
        <v>690</v>
      </c>
      <c r="B6">
        <v>1</v>
      </c>
    </row>
    <row r="7" spans="1:4" x14ac:dyDescent="0.2">
      <c r="A7" t="s">
        <v>635</v>
      </c>
      <c r="B7">
        <v>5</v>
      </c>
    </row>
    <row r="8" spans="1:4" x14ac:dyDescent="0.2">
      <c r="A8" t="s">
        <v>691</v>
      </c>
      <c r="B8">
        <v>1</v>
      </c>
    </row>
    <row r="9" spans="1:4" x14ac:dyDescent="0.2">
      <c r="A9" t="s">
        <v>692</v>
      </c>
      <c r="B9">
        <v>1</v>
      </c>
    </row>
    <row r="10" spans="1:4" x14ac:dyDescent="0.2">
      <c r="A10" t="s">
        <v>275</v>
      </c>
      <c r="B10">
        <v>1</v>
      </c>
    </row>
    <row r="11" spans="1:4" x14ac:dyDescent="0.2">
      <c r="A11" t="s">
        <v>274</v>
      </c>
      <c r="B11">
        <v>1</v>
      </c>
    </row>
    <row r="12" spans="1:4" x14ac:dyDescent="0.2">
      <c r="A12" t="s">
        <v>270</v>
      </c>
      <c r="B12">
        <v>1</v>
      </c>
    </row>
    <row r="13" spans="1:4" x14ac:dyDescent="0.2">
      <c r="A13" t="s">
        <v>280</v>
      </c>
      <c r="B13">
        <v>1</v>
      </c>
    </row>
    <row r="14" spans="1:4" x14ac:dyDescent="0.2">
      <c r="A14" t="s">
        <v>277</v>
      </c>
      <c r="B14">
        <v>1</v>
      </c>
      <c r="C14">
        <v>1</v>
      </c>
    </row>
    <row r="15" spans="1:4" x14ac:dyDescent="0.2">
      <c r="A15" t="s">
        <v>693</v>
      </c>
      <c r="B15">
        <v>1</v>
      </c>
    </row>
    <row r="16" spans="1:4" x14ac:dyDescent="0.2">
      <c r="A16" t="s">
        <v>272</v>
      </c>
      <c r="B16">
        <v>1</v>
      </c>
    </row>
    <row r="17" spans="1:3" x14ac:dyDescent="0.2">
      <c r="A17" t="s">
        <v>3</v>
      </c>
      <c r="B17">
        <f>SUM(B3:B16)</f>
        <v>18</v>
      </c>
      <c r="C17">
        <f>SUM(C3:C16)</f>
        <v>2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1"/>
  </sheetPr>
  <dimension ref="A1"/>
  <sheetViews>
    <sheetView workbookViewId="0">
      <selection sqref="A1:N4"/>
    </sheetView>
  </sheetViews>
  <sheetFormatPr defaultColWidth="9.140625" defaultRowHeight="12" x14ac:dyDescent="0.2"/>
  <sheetData/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/>
  </sheetPr>
  <dimension ref="A1:HA170"/>
  <sheetViews>
    <sheetView workbookViewId="0">
      <selection sqref="A1:N4"/>
    </sheetView>
  </sheetViews>
  <sheetFormatPr defaultColWidth="9.140625" defaultRowHeight="15" x14ac:dyDescent="0.2"/>
  <cols>
    <col min="1" max="1" width="5.85546875" style="813" customWidth="1"/>
    <col min="2" max="2" width="14.7109375" style="813" customWidth="1"/>
    <col min="3" max="3" width="17.140625" style="813" customWidth="1"/>
    <col min="4" max="4" width="14.7109375" style="813" customWidth="1"/>
    <col min="5" max="5" width="5" style="813" customWidth="1"/>
    <col min="6" max="6" width="11.85546875" style="813" bestFit="1" customWidth="1"/>
    <col min="7" max="7" width="12.7109375" style="813" bestFit="1" customWidth="1"/>
    <col min="8" max="8" width="11" style="813" bestFit="1" customWidth="1"/>
    <col min="9" max="9" width="11.5703125" style="813" bestFit="1" customWidth="1"/>
    <col min="10" max="10" width="7.5703125" style="813" bestFit="1" customWidth="1"/>
    <col min="11" max="11" width="6" style="813" customWidth="1"/>
    <col min="12" max="12" width="5" style="813" customWidth="1"/>
    <col min="13" max="15" width="3" style="813" customWidth="1"/>
    <col min="16" max="16" width="6" style="813" customWidth="1"/>
    <col min="17" max="17" width="3" style="813" customWidth="1"/>
    <col min="18" max="18" width="6" style="813" customWidth="1"/>
    <col min="19" max="19" width="3" style="813" customWidth="1"/>
    <col min="20" max="21" width="6" style="813" customWidth="1"/>
    <col min="22" max="22" width="5" style="813" customWidth="1"/>
    <col min="23" max="23" width="7" style="813" customWidth="1"/>
    <col min="24" max="25" width="4" style="813" customWidth="1"/>
    <col min="26" max="28" width="7" style="813" customWidth="1"/>
    <col min="29" max="29" width="6" style="813" customWidth="1"/>
    <col min="30" max="31" width="4" style="813" customWidth="1"/>
    <col min="32" max="35" width="7" style="813" customWidth="1"/>
    <col min="36" max="36" width="4" style="813" customWidth="1"/>
    <col min="37" max="37" width="6" style="813" customWidth="1"/>
    <col min="38" max="41" width="7" style="813" customWidth="1"/>
    <col min="42" max="42" width="4" style="813" customWidth="1"/>
    <col min="43" max="43" width="7" style="813" customWidth="1"/>
    <col min="44" max="54" width="4" style="813" customWidth="1"/>
    <col min="55" max="56" width="7" style="813" customWidth="1"/>
    <col min="57" max="57" width="4" style="813" customWidth="1"/>
    <col min="58" max="58" width="7" style="813" customWidth="1"/>
    <col min="59" max="62" width="4" style="813" customWidth="1"/>
    <col min="63" max="63" width="6" style="813" customWidth="1"/>
    <col min="64" max="66" width="4" style="813" customWidth="1"/>
    <col min="67" max="68" width="7" style="813" customWidth="1"/>
    <col min="69" max="70" width="4" style="813" customWidth="1"/>
    <col min="71" max="73" width="5" style="813" customWidth="1"/>
    <col min="74" max="75" width="8" style="813" customWidth="1"/>
    <col min="76" max="78" width="5" style="813" customWidth="1"/>
    <col min="79" max="79" width="7" style="813" customWidth="1"/>
    <col min="80" max="80" width="8" style="813" customWidth="1"/>
    <col min="81" max="82" width="5" style="813" customWidth="1"/>
    <col min="83" max="83" width="8" style="813" customWidth="1"/>
    <col min="84" max="86" width="5" style="813" customWidth="1"/>
    <col min="87" max="89" width="8" style="813" customWidth="1"/>
    <col min="90" max="90" width="5" style="813" customWidth="1"/>
    <col min="91" max="91" width="8" style="813" customWidth="1"/>
    <col min="92" max="92" width="11" style="813" customWidth="1"/>
    <col min="93" max="93" width="4" style="813" customWidth="1"/>
    <col min="94" max="96" width="7" style="813" customWidth="1"/>
    <col min="97" max="98" width="4" style="813" customWidth="1"/>
    <col min="99" max="100" width="7" style="813" customWidth="1"/>
    <col min="101" max="101" width="5" style="813" customWidth="1"/>
    <col min="102" max="104" width="8" style="813" customWidth="1"/>
    <col min="105" max="105" width="5" style="813" customWidth="1"/>
    <col min="106" max="107" width="8" style="813" customWidth="1"/>
    <col min="108" max="110" width="5" style="813" customWidth="1"/>
    <col min="111" max="112" width="8" style="813" customWidth="1"/>
    <col min="113" max="113" width="5" style="813" customWidth="1"/>
    <col min="114" max="115" width="8" style="813" customWidth="1"/>
    <col min="116" max="116" width="5" style="813" customWidth="1"/>
    <col min="117" max="118" width="8" style="813" customWidth="1"/>
    <col min="119" max="119" width="5" style="813" customWidth="1"/>
    <col min="120" max="120" width="4.85546875" style="813" customWidth="1"/>
    <col min="121" max="122" width="6.85546875" style="813" customWidth="1"/>
    <col min="123" max="123" width="4.85546875" style="813" customWidth="1"/>
    <col min="124" max="124" width="7.85546875" style="813" customWidth="1"/>
    <col min="125" max="126" width="6.85546875" style="813" customWidth="1"/>
    <col min="127" max="127" width="4.85546875" style="813" customWidth="1"/>
    <col min="128" max="128" width="7.85546875" style="813" customWidth="1"/>
    <col min="129" max="129" width="6.85546875" style="813" customWidth="1"/>
    <col min="130" max="132" width="4.85546875" style="813" customWidth="1"/>
    <col min="133" max="133" width="7.85546875" style="813" customWidth="1"/>
    <col min="134" max="134" width="4.85546875" style="813" customWidth="1"/>
    <col min="135" max="135" width="7.85546875" style="813" customWidth="1"/>
    <col min="136" max="136" width="4.85546875" style="813" customWidth="1"/>
    <col min="137" max="138" width="7.85546875" style="813" customWidth="1"/>
    <col min="139" max="139" width="6.85546875" style="813" customWidth="1"/>
    <col min="140" max="140" width="8.85546875" style="813" customWidth="1"/>
    <col min="141" max="142" width="5.85546875" style="813" customWidth="1"/>
    <col min="143" max="145" width="8.85546875" style="813" customWidth="1"/>
    <col min="146" max="146" width="7.85546875" style="813" customWidth="1"/>
    <col min="147" max="148" width="5.85546875" style="813" customWidth="1"/>
    <col min="149" max="152" width="8.85546875" style="813" customWidth="1"/>
    <col min="153" max="153" width="5.85546875" style="813" customWidth="1"/>
    <col min="154" max="154" width="7.85546875" style="813" customWidth="1"/>
    <col min="155" max="158" width="8.85546875" style="813" customWidth="1"/>
    <col min="159" max="159" width="5.85546875" style="813" customWidth="1"/>
    <col min="160" max="160" width="8.85546875" style="813" customWidth="1"/>
    <col min="161" max="171" width="5.85546875" style="813" customWidth="1"/>
    <col min="172" max="173" width="8.85546875" style="813" customWidth="1"/>
    <col min="174" max="174" width="5.85546875" style="813" customWidth="1"/>
    <col min="175" max="175" width="8.85546875" style="813" customWidth="1"/>
    <col min="176" max="179" width="5.85546875" style="813" customWidth="1"/>
    <col min="180" max="180" width="7.85546875" style="813" customWidth="1"/>
    <col min="181" max="183" width="5.85546875" style="813" customWidth="1"/>
    <col min="184" max="185" width="8.85546875" style="813" customWidth="1"/>
    <col min="186" max="187" width="5.85546875" style="813" customWidth="1"/>
    <col min="188" max="190" width="6.85546875" style="813" customWidth="1"/>
    <col min="191" max="192" width="9.85546875" style="813" bestFit="1" customWidth="1"/>
    <col min="193" max="195" width="6.85546875" style="813" customWidth="1"/>
    <col min="196" max="196" width="8.85546875" style="813" customWidth="1"/>
    <col min="197" max="197" width="9.85546875" style="813" bestFit="1" customWidth="1"/>
    <col min="198" max="199" width="6.85546875" style="813" customWidth="1"/>
    <col min="200" max="200" width="9.85546875" style="813" bestFit="1" customWidth="1"/>
    <col min="201" max="203" width="6.85546875" style="813" customWidth="1"/>
    <col min="204" max="206" width="9.85546875" style="813" bestFit="1" customWidth="1"/>
    <col min="207" max="207" width="6.85546875" style="813" customWidth="1"/>
    <col min="208" max="208" width="9.85546875" style="813" bestFit="1" customWidth="1"/>
    <col min="209" max="209" width="11" style="813" bestFit="1" customWidth="1"/>
    <col min="210" max="16384" width="9.140625" style="813"/>
  </cols>
  <sheetData>
    <row r="1" spans="1:2" ht="40.5" customHeight="1" x14ac:dyDescent="0.2">
      <c r="A1" s="813" t="s">
        <v>694</v>
      </c>
    </row>
    <row r="2" spans="1:2" ht="40.5" customHeight="1" x14ac:dyDescent="0.2"/>
    <row r="3" spans="1:2" ht="40.5" customHeight="1" x14ac:dyDescent="0.2">
      <c r="A3" s="813" t="s">
        <v>695</v>
      </c>
    </row>
    <row r="4" spans="1:2" ht="40.5" customHeight="1" x14ac:dyDescent="0.2"/>
    <row r="5" spans="1:2" ht="40.5" customHeight="1" x14ac:dyDescent="0.2">
      <c r="A5" s="813" t="s">
        <v>696</v>
      </c>
    </row>
    <row r="6" spans="1:2" ht="40.5" customHeight="1" x14ac:dyDescent="0.2"/>
    <row r="9" spans="1:2" x14ac:dyDescent="0.2">
      <c r="A9" s="1449"/>
      <c r="B9" s="1449"/>
    </row>
    <row r="11" spans="1:2" x14ac:dyDescent="0.2">
      <c r="A11" s="1449"/>
      <c r="B11" s="1449"/>
    </row>
    <row r="22" spans="1:8" x14ac:dyDescent="0.2">
      <c r="A22" s="813" t="s">
        <v>697</v>
      </c>
    </row>
    <row r="24" spans="1:8" x14ac:dyDescent="0.2">
      <c r="D24" s="813" t="s">
        <v>698</v>
      </c>
      <c r="F24" s="813" t="s">
        <v>699</v>
      </c>
      <c r="H24" s="813" t="s">
        <v>700</v>
      </c>
    </row>
    <row r="26" spans="1:8" x14ac:dyDescent="0.2">
      <c r="A26" s="1449" t="s">
        <v>181</v>
      </c>
      <c r="B26" s="1449"/>
    </row>
    <row r="28" spans="1:8" x14ac:dyDescent="0.2">
      <c r="A28" s="1449" t="s">
        <v>701</v>
      </c>
      <c r="B28" s="1449"/>
    </row>
    <row r="32" spans="1:8" x14ac:dyDescent="0.2">
      <c r="A32" s="813" t="s">
        <v>702</v>
      </c>
    </row>
    <row r="35" spans="1:10" x14ac:dyDescent="0.2">
      <c r="D35" s="813" t="s">
        <v>698</v>
      </c>
      <c r="F35" s="813" t="s">
        <v>699</v>
      </c>
      <c r="H35" s="813" t="s">
        <v>700</v>
      </c>
    </row>
    <row r="37" spans="1:10" x14ac:dyDescent="0.2">
      <c r="A37" s="1449" t="s">
        <v>181</v>
      </c>
      <c r="B37" s="1449"/>
    </row>
    <row r="39" spans="1:10" x14ac:dyDescent="0.2">
      <c r="A39" s="1449" t="s">
        <v>701</v>
      </c>
      <c r="B39" s="1449"/>
    </row>
    <row r="43" spans="1:10" x14ac:dyDescent="0.2">
      <c r="A43" s="1456"/>
      <c r="B43" s="1456"/>
      <c r="C43" s="1456"/>
      <c r="D43" s="1456"/>
      <c r="E43" s="1456"/>
      <c r="F43" s="1456"/>
      <c r="G43" s="1456"/>
      <c r="H43" s="1456"/>
      <c r="I43" s="1456"/>
      <c r="J43" s="1456"/>
    </row>
    <row r="44" spans="1:10" x14ac:dyDescent="0.2">
      <c r="A44" s="1456"/>
      <c r="B44" s="1456"/>
      <c r="C44" s="1456"/>
      <c r="D44" s="1456"/>
      <c r="E44" s="1456"/>
      <c r="F44" s="1456"/>
      <c r="G44" s="1456"/>
      <c r="H44" s="1456"/>
      <c r="I44" s="1456"/>
      <c r="J44" s="1456"/>
    </row>
    <row r="45" spans="1:10" x14ac:dyDescent="0.2">
      <c r="A45" s="1456"/>
      <c r="B45" s="1456"/>
      <c r="C45" s="1456"/>
      <c r="D45" s="1456"/>
      <c r="E45" s="1456"/>
      <c r="F45" s="1456"/>
      <c r="G45" s="1456"/>
      <c r="H45" s="1456"/>
      <c r="I45" s="1456"/>
      <c r="J45" s="1456"/>
    </row>
    <row r="47" spans="1:10" ht="20.25" x14ac:dyDescent="0.2">
      <c r="A47" s="842"/>
    </row>
    <row r="48" spans="1:10" ht="83.25" customHeight="1" x14ac:dyDescent="0.2">
      <c r="A48" s="1457"/>
      <c r="B48" s="1457"/>
      <c r="C48" s="1457"/>
      <c r="D48" s="1457"/>
      <c r="E48" s="1457"/>
      <c r="F48" s="1457"/>
      <c r="G48" s="1457"/>
      <c r="H48" s="1457"/>
      <c r="I48" s="1457"/>
      <c r="J48" s="1457"/>
    </row>
    <row r="49" spans="1:10" ht="61.5" customHeight="1" x14ac:dyDescent="0.2">
      <c r="A49" s="1458"/>
      <c r="B49" s="1458"/>
      <c r="C49" s="1458"/>
      <c r="D49" s="1458"/>
      <c r="E49" s="1458"/>
      <c r="F49" s="1458"/>
      <c r="G49" s="1458"/>
      <c r="H49" s="1458"/>
      <c r="I49" s="1458"/>
      <c r="J49" s="1458"/>
    </row>
    <row r="50" spans="1:10" ht="37.5" customHeight="1" x14ac:dyDescent="0.2">
      <c r="A50" s="1458"/>
      <c r="B50" s="1458"/>
      <c r="C50" s="1458"/>
      <c r="D50" s="1458"/>
      <c r="E50" s="1458"/>
      <c r="F50" s="1458"/>
      <c r="G50" s="1458"/>
      <c r="H50" s="1458"/>
      <c r="I50" s="1458"/>
      <c r="J50" s="1458"/>
    </row>
    <row r="51" spans="1:10" ht="41.25" customHeight="1" x14ac:dyDescent="0.2">
      <c r="A51" s="1458"/>
      <c r="B51" s="1458"/>
      <c r="C51" s="1458"/>
      <c r="D51" s="1458"/>
      <c r="E51" s="1458"/>
      <c r="F51" s="1458"/>
      <c r="G51" s="1458"/>
      <c r="H51" s="1458"/>
      <c r="I51" s="1458"/>
      <c r="J51" s="1458"/>
    </row>
    <row r="52" spans="1:10" ht="20.25" x14ac:dyDescent="0.2">
      <c r="A52" s="1458"/>
      <c r="B52" s="1458"/>
      <c r="C52" s="1458"/>
      <c r="D52" s="1458"/>
      <c r="E52" s="1458"/>
      <c r="F52" s="1458"/>
      <c r="G52" s="1458"/>
      <c r="H52" s="1458"/>
      <c r="I52" s="1458"/>
      <c r="J52" s="1458"/>
    </row>
    <row r="83" spans="1:10" ht="19.5" x14ac:dyDescent="0.2">
      <c r="A83" s="1464"/>
      <c r="B83" s="1464"/>
      <c r="C83" s="1464"/>
      <c r="D83" s="1464"/>
      <c r="E83" s="1464"/>
      <c r="F83" s="1464"/>
      <c r="G83" s="1464"/>
      <c r="H83" s="1464"/>
      <c r="I83" s="1464"/>
      <c r="J83" s="1464"/>
    </row>
    <row r="84" spans="1:10" x14ac:dyDescent="0.2">
      <c r="A84" s="1459"/>
      <c r="B84" s="1459"/>
      <c r="C84" s="1459"/>
      <c r="D84" s="1459"/>
      <c r="E84" s="1459"/>
      <c r="F84" s="1459"/>
      <c r="G84" s="1459"/>
      <c r="H84" s="1459"/>
      <c r="I84" s="1459"/>
      <c r="J84" s="1459"/>
    </row>
    <row r="85" spans="1:10" x14ac:dyDescent="0.2">
      <c r="A85" s="1459"/>
      <c r="B85" s="1459"/>
      <c r="C85" s="1459"/>
      <c r="D85" s="1459"/>
      <c r="E85" s="1459"/>
      <c r="F85" s="1459"/>
      <c r="G85" s="1459"/>
      <c r="H85" s="1459"/>
      <c r="I85" s="1459"/>
      <c r="J85" s="1459"/>
    </row>
    <row r="87" spans="1:10" ht="19.5" x14ac:dyDescent="0.2">
      <c r="A87" s="1460"/>
      <c r="B87" s="1460"/>
      <c r="C87" s="1460"/>
      <c r="D87" s="1460"/>
      <c r="E87" s="1460"/>
      <c r="F87" s="818"/>
      <c r="G87" s="818"/>
      <c r="H87" s="818"/>
      <c r="I87" s="818"/>
      <c r="J87" s="818"/>
    </row>
    <row r="88" spans="1:10" ht="18.75" x14ac:dyDescent="0.2">
      <c r="A88" s="818"/>
      <c r="B88" s="1451"/>
      <c r="C88" s="1451"/>
      <c r="D88" s="1451"/>
      <c r="E88" s="1451"/>
      <c r="F88" s="818"/>
      <c r="G88" s="822"/>
      <c r="H88" s="822"/>
      <c r="I88" s="822"/>
      <c r="J88" s="818"/>
    </row>
    <row r="89" spans="1:10" x14ac:dyDescent="0.2">
      <c r="A89" s="818"/>
      <c r="B89" s="818"/>
      <c r="C89" s="1452"/>
      <c r="D89" s="1452"/>
      <c r="E89" s="1452"/>
      <c r="F89" s="819"/>
      <c r="G89" s="821"/>
      <c r="H89" s="821"/>
      <c r="I89" s="821"/>
      <c r="J89" s="818"/>
    </row>
    <row r="90" spans="1:10" x14ac:dyDescent="0.2">
      <c r="A90" s="818"/>
      <c r="B90" s="818"/>
      <c r="C90" s="1452"/>
      <c r="D90" s="1452"/>
      <c r="E90" s="1452"/>
      <c r="F90" s="819"/>
      <c r="G90" s="821"/>
      <c r="H90" s="821"/>
      <c r="I90" s="821"/>
      <c r="J90" s="818"/>
    </row>
    <row r="91" spans="1:10" x14ac:dyDescent="0.2">
      <c r="A91" s="818"/>
      <c r="B91" s="818"/>
      <c r="C91" s="1452"/>
      <c r="D91" s="1452"/>
      <c r="E91" s="1452"/>
      <c r="F91" s="819"/>
      <c r="G91" s="821"/>
      <c r="H91" s="821"/>
      <c r="I91" s="821"/>
      <c r="J91" s="818"/>
    </row>
    <row r="92" spans="1:10" x14ac:dyDescent="0.2">
      <c r="A92" s="818"/>
      <c r="B92" s="818"/>
      <c r="C92" s="1452"/>
      <c r="D92" s="1452"/>
      <c r="E92" s="1452"/>
      <c r="F92" s="819"/>
      <c r="G92" s="821"/>
      <c r="H92" s="821"/>
      <c r="I92" s="821"/>
      <c r="J92" s="818"/>
    </row>
    <row r="93" spans="1:10" x14ac:dyDescent="0.2">
      <c r="A93" s="818"/>
      <c r="B93" s="818"/>
      <c r="C93" s="818"/>
      <c r="D93" s="818"/>
      <c r="E93" s="818"/>
      <c r="F93" s="818"/>
      <c r="G93" s="821"/>
      <c r="H93" s="821"/>
      <c r="I93" s="821"/>
      <c r="J93" s="818"/>
    </row>
    <row r="94" spans="1:10" ht="18.75" x14ac:dyDescent="0.2">
      <c r="A94" s="818"/>
      <c r="B94" s="1451"/>
      <c r="C94" s="1451"/>
      <c r="D94" s="1451"/>
      <c r="E94" s="1451"/>
      <c r="F94" s="818"/>
      <c r="G94" s="822"/>
      <c r="H94" s="822"/>
      <c r="I94" s="822"/>
      <c r="J94" s="818"/>
    </row>
    <row r="95" spans="1:10" x14ac:dyDescent="0.2">
      <c r="A95" s="818"/>
      <c r="B95" s="818"/>
      <c r="C95" s="1452"/>
      <c r="D95" s="1452"/>
      <c r="E95" s="1452"/>
      <c r="F95" s="818"/>
      <c r="G95" s="821"/>
      <c r="H95" s="821"/>
      <c r="I95" s="821"/>
      <c r="J95" s="818"/>
    </row>
    <row r="96" spans="1:10" x14ac:dyDescent="0.2">
      <c r="A96" s="818"/>
      <c r="B96" s="818"/>
      <c r="C96" s="1452"/>
      <c r="D96" s="1452"/>
      <c r="E96" s="1452"/>
      <c r="F96" s="818"/>
      <c r="G96" s="821"/>
      <c r="H96" s="821"/>
      <c r="I96" s="821"/>
      <c r="J96" s="818"/>
    </row>
    <row r="97" spans="1:10" ht="15.75" thickBot="1" x14ac:dyDescent="0.25">
      <c r="A97" s="818"/>
      <c r="B97" s="818"/>
      <c r="C97" s="818"/>
      <c r="D97" s="818"/>
      <c r="E97" s="818"/>
      <c r="F97" s="818"/>
      <c r="G97" s="821"/>
      <c r="H97" s="821"/>
      <c r="I97" s="821"/>
      <c r="J97" s="818"/>
    </row>
    <row r="98" spans="1:10" ht="15.75" thickBot="1" x14ac:dyDescent="0.25">
      <c r="A98" s="818"/>
      <c r="B98" s="818"/>
      <c r="C98" s="818"/>
      <c r="D98" s="825"/>
      <c r="E98" s="826"/>
      <c r="F98" s="826"/>
      <c r="G98" s="827"/>
      <c r="H98" s="827"/>
      <c r="I98" s="828"/>
      <c r="J98" s="818"/>
    </row>
    <row r="99" spans="1:10" x14ac:dyDescent="0.2">
      <c r="A99" s="818"/>
      <c r="B99" s="818"/>
      <c r="C99" s="818"/>
      <c r="D99" s="818"/>
      <c r="E99" s="818"/>
      <c r="F99" s="818"/>
      <c r="G99" s="840"/>
      <c r="H99" s="840"/>
      <c r="I99" s="840"/>
      <c r="J99" s="818"/>
    </row>
    <row r="100" spans="1:10" s="842" customFormat="1" ht="20.25" x14ac:dyDescent="0.2">
      <c r="A100" s="1461"/>
      <c r="B100" s="1461"/>
      <c r="C100" s="1461"/>
      <c r="D100" s="1461"/>
      <c r="E100" s="1461"/>
      <c r="F100" s="841"/>
      <c r="G100" s="841"/>
      <c r="H100" s="841"/>
      <c r="I100" s="841"/>
      <c r="J100" s="841"/>
    </row>
    <row r="101" spans="1:10" ht="18.75" x14ac:dyDescent="0.2">
      <c r="A101" s="820"/>
      <c r="B101" s="1453"/>
      <c r="C101" s="1453"/>
      <c r="D101" s="1453"/>
      <c r="E101" s="1453"/>
      <c r="F101" s="820"/>
      <c r="G101" s="823"/>
      <c r="H101" s="823"/>
      <c r="I101" s="823"/>
      <c r="J101" s="820"/>
    </row>
    <row r="102" spans="1:10" x14ac:dyDescent="0.2">
      <c r="A102" s="820"/>
      <c r="B102" s="820"/>
      <c r="C102" s="820"/>
      <c r="D102" s="820"/>
      <c r="E102" s="820"/>
      <c r="F102" s="820"/>
      <c r="G102" s="820"/>
      <c r="H102" s="820"/>
      <c r="I102" s="820"/>
      <c r="J102" s="820"/>
    </row>
    <row r="103" spans="1:10" ht="18.75" x14ac:dyDescent="0.2">
      <c r="A103" s="820"/>
      <c r="B103" s="1453"/>
      <c r="C103" s="1453"/>
      <c r="D103" s="1453"/>
      <c r="E103" s="1453"/>
      <c r="F103" s="820"/>
      <c r="G103" s="823"/>
      <c r="H103" s="823"/>
      <c r="I103" s="823"/>
      <c r="J103" s="820"/>
    </row>
    <row r="104" spans="1:10" x14ac:dyDescent="0.2">
      <c r="A104" s="820"/>
      <c r="B104" s="820"/>
      <c r="C104" s="1454"/>
      <c r="D104" s="1454"/>
      <c r="E104" s="1454"/>
      <c r="F104" s="820"/>
      <c r="G104" s="824"/>
      <c r="H104" s="824"/>
      <c r="I104" s="824"/>
      <c r="J104" s="820"/>
    </row>
    <row r="105" spans="1:10" x14ac:dyDescent="0.2">
      <c r="A105" s="820"/>
      <c r="B105" s="820"/>
      <c r="C105" s="1454"/>
      <c r="D105" s="1454"/>
      <c r="E105" s="1454"/>
      <c r="F105" s="820"/>
      <c r="G105" s="824"/>
      <c r="H105" s="824"/>
      <c r="I105" s="824"/>
      <c r="J105" s="820"/>
    </row>
    <row r="106" spans="1:10" x14ac:dyDescent="0.2">
      <c r="A106" s="820"/>
      <c r="B106" s="820"/>
      <c r="C106" s="1454"/>
      <c r="D106" s="1454"/>
      <c r="E106" s="1454"/>
      <c r="F106" s="820"/>
      <c r="G106" s="824"/>
      <c r="H106" s="824"/>
      <c r="I106" s="824"/>
      <c r="J106" s="820"/>
    </row>
    <row r="107" spans="1:10" x14ac:dyDescent="0.2">
      <c r="A107" s="820"/>
      <c r="B107" s="820"/>
      <c r="C107" s="1454"/>
      <c r="D107" s="1454"/>
      <c r="E107" s="1454"/>
      <c r="F107" s="820"/>
      <c r="G107" s="824"/>
      <c r="H107" s="824"/>
      <c r="I107" s="824"/>
      <c r="J107" s="820"/>
    </row>
    <row r="108" spans="1:10" x14ac:dyDescent="0.2">
      <c r="A108" s="820"/>
      <c r="B108" s="820"/>
      <c r="C108" s="820"/>
      <c r="D108" s="820"/>
      <c r="E108" s="820"/>
      <c r="F108" s="820"/>
      <c r="G108" s="820"/>
      <c r="H108" s="820"/>
      <c r="I108" s="820"/>
      <c r="J108" s="820"/>
    </row>
    <row r="109" spans="1:10" ht="18.75" x14ac:dyDescent="0.2">
      <c r="A109" s="820"/>
      <c r="B109" s="1453"/>
      <c r="C109" s="1453"/>
      <c r="D109" s="1453"/>
      <c r="E109" s="1453"/>
      <c r="F109" s="820"/>
      <c r="G109" s="823"/>
      <c r="H109" s="823"/>
      <c r="I109" s="823"/>
      <c r="J109" s="820"/>
    </row>
    <row r="110" spans="1:10" ht="15.75" thickBot="1" x14ac:dyDescent="0.25">
      <c r="A110" s="820"/>
      <c r="B110" s="820"/>
      <c r="C110" s="820"/>
      <c r="D110" s="820"/>
      <c r="E110" s="820"/>
      <c r="F110" s="820"/>
      <c r="G110" s="824"/>
      <c r="H110" s="824"/>
      <c r="I110" s="824"/>
      <c r="J110" s="820"/>
    </row>
    <row r="111" spans="1:10" ht="15.75" thickBot="1" x14ac:dyDescent="0.25">
      <c r="A111" s="820"/>
      <c r="B111" s="820"/>
      <c r="C111" s="820"/>
      <c r="D111" s="829"/>
      <c r="E111" s="830"/>
      <c r="F111" s="830"/>
      <c r="G111" s="831"/>
      <c r="H111" s="831"/>
      <c r="I111" s="832"/>
      <c r="J111" s="820"/>
    </row>
    <row r="112" spans="1:10" x14ac:dyDescent="0.2">
      <c r="A112" s="820"/>
      <c r="B112" s="820"/>
      <c r="C112" s="820"/>
      <c r="D112" s="820"/>
      <c r="E112" s="820"/>
      <c r="F112" s="820"/>
      <c r="G112" s="824"/>
      <c r="H112" s="824"/>
      <c r="I112" s="824"/>
      <c r="J112" s="820"/>
    </row>
    <row r="113" spans="1:10" s="842" customFormat="1" ht="20.25" x14ac:dyDescent="0.2">
      <c r="A113" s="1450"/>
      <c r="B113" s="1450"/>
      <c r="C113" s="1450"/>
      <c r="D113" s="1450"/>
      <c r="E113" s="1450"/>
      <c r="F113" s="843"/>
      <c r="G113" s="843"/>
      <c r="H113" s="843"/>
      <c r="I113" s="843"/>
      <c r="J113" s="843"/>
    </row>
    <row r="114" spans="1:10" ht="18.75" x14ac:dyDescent="0.2">
      <c r="A114" s="817"/>
      <c r="B114" s="1465"/>
      <c r="C114" s="1465"/>
      <c r="D114" s="1465"/>
      <c r="E114" s="1465"/>
      <c r="F114" s="817"/>
      <c r="G114" s="833"/>
      <c r="H114" s="833"/>
      <c r="I114" s="833"/>
      <c r="J114" s="817"/>
    </row>
    <row r="115" spans="1:10" x14ac:dyDescent="0.2">
      <c r="A115" s="817"/>
      <c r="B115" s="817"/>
      <c r="C115" s="1455"/>
      <c r="D115" s="1455"/>
      <c r="E115" s="1455"/>
      <c r="F115" s="817"/>
      <c r="G115" s="834"/>
      <c r="H115" s="834"/>
      <c r="I115" s="834"/>
      <c r="J115" s="817"/>
    </row>
    <row r="116" spans="1:10" x14ac:dyDescent="0.2">
      <c r="A116" s="817"/>
      <c r="B116" s="817"/>
      <c r="C116" s="1455"/>
      <c r="D116" s="1455"/>
      <c r="E116" s="1455"/>
      <c r="F116" s="817"/>
      <c r="G116" s="834"/>
      <c r="H116" s="834"/>
      <c r="I116" s="834"/>
      <c r="J116" s="817"/>
    </row>
    <row r="117" spans="1:10" x14ac:dyDescent="0.2">
      <c r="A117" s="817"/>
      <c r="B117" s="817"/>
      <c r="C117" s="1455"/>
      <c r="D117" s="1455"/>
      <c r="E117" s="1455"/>
      <c r="F117" s="817"/>
      <c r="G117" s="834"/>
      <c r="H117" s="834"/>
      <c r="I117" s="834"/>
      <c r="J117" s="817"/>
    </row>
    <row r="118" spans="1:10" x14ac:dyDescent="0.2">
      <c r="A118" s="817"/>
      <c r="B118" s="817"/>
      <c r="C118" s="1455"/>
      <c r="D118" s="1455"/>
      <c r="E118" s="1455"/>
      <c r="F118" s="817"/>
      <c r="G118" s="834"/>
      <c r="H118" s="834"/>
      <c r="I118" s="834"/>
      <c r="J118" s="817"/>
    </row>
    <row r="119" spans="1:10" x14ac:dyDescent="0.2">
      <c r="A119" s="817"/>
      <c r="B119" s="817"/>
      <c r="C119" s="1455"/>
      <c r="D119" s="1455"/>
      <c r="E119" s="1455"/>
      <c r="F119" s="817"/>
      <c r="G119" s="834"/>
      <c r="H119" s="834"/>
      <c r="I119" s="834"/>
      <c r="J119" s="817"/>
    </row>
    <row r="120" spans="1:10" x14ac:dyDescent="0.2">
      <c r="A120" s="817"/>
      <c r="B120" s="817"/>
      <c r="C120" s="835"/>
      <c r="D120" s="835"/>
      <c r="E120" s="835"/>
      <c r="F120" s="817"/>
      <c r="G120" s="817"/>
      <c r="H120" s="817"/>
      <c r="I120" s="817"/>
      <c r="J120" s="817"/>
    </row>
    <row r="121" spans="1:10" ht="18.75" x14ac:dyDescent="0.2">
      <c r="A121" s="817"/>
      <c r="B121" s="1465"/>
      <c r="C121" s="1465"/>
      <c r="D121" s="1465"/>
      <c r="E121" s="1465"/>
      <c r="F121" s="817"/>
      <c r="G121" s="833"/>
      <c r="H121" s="833"/>
      <c r="I121" s="833"/>
      <c r="J121" s="817"/>
    </row>
    <row r="122" spans="1:10" x14ac:dyDescent="0.2">
      <c r="A122" s="817"/>
      <c r="B122" s="817"/>
      <c r="C122" s="1455"/>
      <c r="D122" s="1455"/>
      <c r="E122" s="1455"/>
      <c r="F122" s="817"/>
      <c r="G122" s="834"/>
      <c r="H122" s="834"/>
      <c r="I122" s="834"/>
      <c r="J122" s="817"/>
    </row>
    <row r="123" spans="1:10" x14ac:dyDescent="0.2">
      <c r="A123" s="817"/>
      <c r="B123" s="817"/>
      <c r="C123" s="1455"/>
      <c r="D123" s="1455"/>
      <c r="E123" s="1455"/>
      <c r="F123" s="817"/>
      <c r="G123" s="834"/>
      <c r="H123" s="834"/>
      <c r="I123" s="834"/>
      <c r="J123" s="817"/>
    </row>
    <row r="124" spans="1:10" x14ac:dyDescent="0.2">
      <c r="A124" s="817"/>
      <c r="B124" s="817"/>
      <c r="C124" s="1455"/>
      <c r="D124" s="1455"/>
      <c r="E124" s="1455"/>
      <c r="F124" s="817"/>
      <c r="G124" s="834"/>
      <c r="H124" s="834"/>
      <c r="I124" s="834"/>
      <c r="J124" s="817"/>
    </row>
    <row r="125" spans="1:10" x14ac:dyDescent="0.2">
      <c r="A125" s="817"/>
      <c r="B125" s="817"/>
      <c r="C125" s="817"/>
      <c r="D125" s="817"/>
      <c r="E125" s="817"/>
      <c r="F125" s="817"/>
      <c r="G125" s="834"/>
      <c r="H125" s="834"/>
      <c r="I125" s="834"/>
      <c r="J125" s="817"/>
    </row>
    <row r="126" spans="1:10" ht="18.75" x14ac:dyDescent="0.2">
      <c r="A126" s="817"/>
      <c r="B126" s="1465"/>
      <c r="C126" s="1465"/>
      <c r="D126" s="1465"/>
      <c r="E126" s="1465"/>
      <c r="F126" s="817"/>
      <c r="G126" s="833"/>
      <c r="H126" s="833"/>
      <c r="I126" s="833"/>
      <c r="J126" s="817"/>
    </row>
    <row r="127" spans="1:10" x14ac:dyDescent="0.2">
      <c r="A127" s="817"/>
      <c r="B127" s="817"/>
      <c r="C127" s="1455"/>
      <c r="D127" s="1455"/>
      <c r="E127" s="1455"/>
      <c r="F127" s="817"/>
      <c r="G127" s="834"/>
      <c r="H127" s="834"/>
      <c r="I127" s="834"/>
      <c r="J127" s="817"/>
    </row>
    <row r="128" spans="1:10" x14ac:dyDescent="0.2">
      <c r="A128" s="817"/>
      <c r="B128" s="817"/>
      <c r="C128" s="1455"/>
      <c r="D128" s="1455"/>
      <c r="E128" s="1455"/>
      <c r="F128" s="817"/>
      <c r="G128" s="834"/>
      <c r="H128" s="834"/>
      <c r="I128" s="834"/>
      <c r="J128" s="817"/>
    </row>
    <row r="129" spans="1:14" ht="15.75" thickBot="1" x14ac:dyDescent="0.25">
      <c r="A129" s="817"/>
      <c r="B129" s="817"/>
      <c r="C129" s="817"/>
      <c r="D129" s="817"/>
      <c r="E129" s="817"/>
      <c r="F129" s="817"/>
      <c r="G129" s="817"/>
      <c r="H129" s="817"/>
      <c r="I129" s="817"/>
      <c r="J129" s="817"/>
    </row>
    <row r="130" spans="1:14" ht="15.75" thickBot="1" x14ac:dyDescent="0.25">
      <c r="A130" s="817"/>
      <c r="B130" s="817"/>
      <c r="C130" s="817"/>
      <c r="D130" s="836"/>
      <c r="E130" s="837"/>
      <c r="F130" s="837"/>
      <c r="G130" s="838"/>
      <c r="H130" s="838"/>
      <c r="I130" s="839"/>
      <c r="J130" s="817"/>
    </row>
    <row r="131" spans="1:14" x14ac:dyDescent="0.2">
      <c r="A131" s="817"/>
      <c r="B131" s="817"/>
      <c r="C131" s="817"/>
      <c r="D131" s="817"/>
      <c r="E131" s="817"/>
      <c r="F131" s="817"/>
      <c r="G131" s="817"/>
      <c r="H131" s="817"/>
      <c r="I131" s="817"/>
      <c r="J131" s="817"/>
    </row>
    <row r="132" spans="1:14" ht="25.5" customHeight="1" x14ac:dyDescent="0.2">
      <c r="A132" s="1463"/>
      <c r="B132" s="1463"/>
      <c r="C132" s="1463"/>
      <c r="D132" s="1463"/>
      <c r="E132" s="1463"/>
      <c r="F132" s="1463"/>
      <c r="G132" s="1463"/>
      <c r="H132" s="1463"/>
      <c r="I132" s="1463"/>
      <c r="J132" s="1463"/>
    </row>
    <row r="135" spans="1:14" x14ac:dyDescent="0.2">
      <c r="L135" s="1452"/>
      <c r="M135" s="1452"/>
      <c r="N135" s="1452"/>
    </row>
    <row r="136" spans="1:14" x14ac:dyDescent="0.2">
      <c r="L136" s="1452"/>
      <c r="M136" s="1452"/>
      <c r="N136" s="1452"/>
    </row>
    <row r="137" spans="1:14" x14ac:dyDescent="0.2">
      <c r="L137" s="1452"/>
      <c r="M137" s="1452"/>
      <c r="N137" s="1452"/>
    </row>
    <row r="138" spans="1:14" ht="35.25" customHeight="1" x14ac:dyDescent="0.2">
      <c r="A138" s="1462"/>
      <c r="B138" s="1459"/>
      <c r="C138" s="1459"/>
      <c r="D138" s="1459"/>
      <c r="E138" s="1459"/>
      <c r="F138" s="1459"/>
      <c r="G138" s="1459"/>
      <c r="H138" s="1459"/>
      <c r="I138" s="1459"/>
      <c r="J138" s="1459"/>
      <c r="L138" s="1452"/>
      <c r="M138" s="1452"/>
      <c r="N138" s="1452"/>
    </row>
    <row r="142" spans="1:14" x14ac:dyDescent="0.2">
      <c r="A142"/>
      <c r="B142"/>
    </row>
    <row r="143" spans="1:14" x14ac:dyDescent="0.2">
      <c r="B143"/>
      <c r="C143"/>
    </row>
    <row r="144" spans="1:14" x14ac:dyDescent="0.2">
      <c r="B144"/>
      <c r="C144"/>
    </row>
    <row r="146" spans="1:209" x14ac:dyDescent="0.2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</row>
    <row r="147" spans="1:209" x14ac:dyDescent="0.2">
      <c r="B147" s="845"/>
      <c r="C147" s="845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</row>
    <row r="148" spans="1:209" x14ac:dyDescent="0.2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</row>
    <row r="149" spans="1:209" x14ac:dyDescent="0.2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</row>
    <row r="150" spans="1:209" x14ac:dyDescent="0.2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</row>
    <row r="151" spans="1:209" x14ac:dyDescent="0.2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</row>
    <row r="152" spans="1:209" x14ac:dyDescent="0.2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</row>
    <row r="153" spans="1:209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</row>
    <row r="154" spans="1:209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</row>
    <row r="155" spans="1:209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</row>
    <row r="156" spans="1:209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</row>
    <row r="157" spans="1:209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</row>
    <row r="158" spans="1:209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</row>
    <row r="159" spans="1:209" x14ac:dyDescent="0.2">
      <c r="A159"/>
      <c r="B159"/>
      <c r="C159"/>
    </row>
    <row r="160" spans="1:209" x14ac:dyDescent="0.2">
      <c r="A160"/>
      <c r="B160"/>
      <c r="C160"/>
    </row>
    <row r="161" spans="1:3" x14ac:dyDescent="0.2">
      <c r="A161"/>
      <c r="B161"/>
      <c r="C161"/>
    </row>
    <row r="162" spans="1:3" x14ac:dyDescent="0.2">
      <c r="A162"/>
      <c r="B162"/>
      <c r="C162"/>
    </row>
    <row r="163" spans="1:3" x14ac:dyDescent="0.2">
      <c r="A163"/>
      <c r="B163"/>
      <c r="C163"/>
    </row>
    <row r="164" spans="1:3" x14ac:dyDescent="0.2">
      <c r="A164"/>
      <c r="B164"/>
      <c r="C164"/>
    </row>
    <row r="165" spans="1:3" x14ac:dyDescent="0.2">
      <c r="A165"/>
      <c r="B165"/>
      <c r="C165"/>
    </row>
    <row r="166" spans="1:3" x14ac:dyDescent="0.2">
      <c r="A166"/>
      <c r="B166"/>
      <c r="C166"/>
    </row>
    <row r="167" spans="1:3" x14ac:dyDescent="0.2">
      <c r="A167"/>
      <c r="B167"/>
      <c r="C167"/>
    </row>
    <row r="168" spans="1:3" x14ac:dyDescent="0.2">
      <c r="A168"/>
      <c r="B168"/>
      <c r="C168"/>
    </row>
    <row r="169" spans="1:3" x14ac:dyDescent="0.2">
      <c r="A169"/>
      <c r="B169"/>
      <c r="C169"/>
    </row>
    <row r="170" spans="1:3" x14ac:dyDescent="0.2">
      <c r="A170"/>
      <c r="B170"/>
      <c r="C170"/>
    </row>
  </sheetData>
  <mergeCells count="51">
    <mergeCell ref="L138:N138"/>
    <mergeCell ref="A138:J138"/>
    <mergeCell ref="A52:J52"/>
    <mergeCell ref="A132:J132"/>
    <mergeCell ref="L135:N135"/>
    <mergeCell ref="L136:N136"/>
    <mergeCell ref="L137:N137"/>
    <mergeCell ref="C124:E124"/>
    <mergeCell ref="C127:E127"/>
    <mergeCell ref="C128:E128"/>
    <mergeCell ref="A83:J83"/>
    <mergeCell ref="B114:E114"/>
    <mergeCell ref="B121:E121"/>
    <mergeCell ref="B126:E126"/>
    <mergeCell ref="C115:E115"/>
    <mergeCell ref="C116:E116"/>
    <mergeCell ref="C119:E119"/>
    <mergeCell ref="C122:E122"/>
    <mergeCell ref="C123:E123"/>
    <mergeCell ref="A43:J45"/>
    <mergeCell ref="A48:J48"/>
    <mergeCell ref="A49:J49"/>
    <mergeCell ref="A50:J50"/>
    <mergeCell ref="A51:J51"/>
    <mergeCell ref="C105:E105"/>
    <mergeCell ref="C106:E106"/>
    <mergeCell ref="C107:E107"/>
    <mergeCell ref="C117:E117"/>
    <mergeCell ref="C118:E118"/>
    <mergeCell ref="A84:J85"/>
    <mergeCell ref="A87:E87"/>
    <mergeCell ref="A100:E100"/>
    <mergeCell ref="A113:E113"/>
    <mergeCell ref="B88:E88"/>
    <mergeCell ref="B94:E94"/>
    <mergeCell ref="C89:E89"/>
    <mergeCell ref="C90:E90"/>
    <mergeCell ref="C91:E91"/>
    <mergeCell ref="C92:E92"/>
    <mergeCell ref="C95:E95"/>
    <mergeCell ref="C96:E96"/>
    <mergeCell ref="B101:E101"/>
    <mergeCell ref="B103:E103"/>
    <mergeCell ref="B109:E109"/>
    <mergeCell ref="C104:E104"/>
    <mergeCell ref="A39:B39"/>
    <mergeCell ref="A9:B9"/>
    <mergeCell ref="A11:B11"/>
    <mergeCell ref="A26:B26"/>
    <mergeCell ref="A28:B28"/>
    <mergeCell ref="A37:B37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/>
  </sheetPr>
  <dimension ref="A1:J26"/>
  <sheetViews>
    <sheetView workbookViewId="0">
      <selection sqref="A1:N4"/>
    </sheetView>
  </sheetViews>
  <sheetFormatPr defaultColWidth="9.140625" defaultRowHeight="15" x14ac:dyDescent="0.2"/>
  <cols>
    <col min="1" max="1" width="5.85546875" style="813" customWidth="1"/>
    <col min="2" max="2" width="14.7109375" style="813" customWidth="1"/>
    <col min="3" max="3" width="17.140625" style="813" customWidth="1"/>
    <col min="4" max="4" width="14.7109375" style="813" customWidth="1"/>
    <col min="5" max="5" width="5" style="813" customWidth="1"/>
    <col min="6" max="6" width="11.85546875" style="813" bestFit="1" customWidth="1"/>
    <col min="7" max="7" width="12.7109375" style="813" bestFit="1" customWidth="1"/>
    <col min="8" max="8" width="11" style="813" bestFit="1" customWidth="1"/>
    <col min="9" max="9" width="11.5703125" style="813" bestFit="1" customWidth="1"/>
    <col min="10" max="10" width="7.5703125" style="813" bestFit="1" customWidth="1"/>
    <col min="11" max="11" width="6" style="813" customWidth="1"/>
    <col min="12" max="12" width="5" style="813" customWidth="1"/>
    <col min="13" max="15" width="3" style="813" customWidth="1"/>
    <col min="16" max="16" width="6" style="813" customWidth="1"/>
    <col min="17" max="17" width="3" style="813" customWidth="1"/>
    <col min="18" max="18" width="6" style="813" customWidth="1"/>
    <col min="19" max="19" width="3" style="813" customWidth="1"/>
    <col min="20" max="21" width="6" style="813" customWidth="1"/>
    <col min="22" max="22" width="5" style="813" customWidth="1"/>
    <col min="23" max="23" width="7" style="813" customWidth="1"/>
    <col min="24" max="25" width="4" style="813" customWidth="1"/>
    <col min="26" max="28" width="7" style="813" customWidth="1"/>
    <col min="29" max="29" width="6" style="813" customWidth="1"/>
    <col min="30" max="31" width="4" style="813" customWidth="1"/>
    <col min="32" max="35" width="7" style="813" customWidth="1"/>
    <col min="36" max="36" width="4" style="813" customWidth="1"/>
    <col min="37" max="37" width="6" style="813" customWidth="1"/>
    <col min="38" max="41" width="7" style="813" customWidth="1"/>
    <col min="42" max="42" width="4" style="813" customWidth="1"/>
    <col min="43" max="43" width="7" style="813" customWidth="1"/>
    <col min="44" max="54" width="4" style="813" customWidth="1"/>
    <col min="55" max="56" width="7" style="813" customWidth="1"/>
    <col min="57" max="57" width="4" style="813" customWidth="1"/>
    <col min="58" max="58" width="7" style="813" customWidth="1"/>
    <col min="59" max="62" width="4" style="813" customWidth="1"/>
    <col min="63" max="63" width="6" style="813" customWidth="1"/>
    <col min="64" max="66" width="4" style="813" customWidth="1"/>
    <col min="67" max="68" width="7" style="813" customWidth="1"/>
    <col min="69" max="70" width="4" style="813" customWidth="1"/>
    <col min="71" max="73" width="5" style="813" customWidth="1"/>
    <col min="74" max="75" width="8" style="813" customWidth="1"/>
    <col min="76" max="78" width="5" style="813" customWidth="1"/>
    <col min="79" max="79" width="7" style="813" customWidth="1"/>
    <col min="80" max="80" width="8" style="813" customWidth="1"/>
    <col min="81" max="82" width="5" style="813" customWidth="1"/>
    <col min="83" max="83" width="8" style="813" customWidth="1"/>
    <col min="84" max="86" width="5" style="813" customWidth="1"/>
    <col min="87" max="89" width="8" style="813" customWidth="1"/>
    <col min="90" max="90" width="5" style="813" customWidth="1"/>
    <col min="91" max="91" width="8" style="813" customWidth="1"/>
    <col min="92" max="92" width="11" style="813" customWidth="1"/>
    <col min="93" max="93" width="4" style="813" customWidth="1"/>
    <col min="94" max="96" width="7" style="813" customWidth="1"/>
    <col min="97" max="98" width="4" style="813" customWidth="1"/>
    <col min="99" max="100" width="7" style="813" customWidth="1"/>
    <col min="101" max="101" width="5" style="813" customWidth="1"/>
    <col min="102" max="104" width="8" style="813" customWidth="1"/>
    <col min="105" max="105" width="5" style="813" customWidth="1"/>
    <col min="106" max="107" width="8" style="813" customWidth="1"/>
    <col min="108" max="110" width="5" style="813" customWidth="1"/>
    <col min="111" max="112" width="8" style="813" customWidth="1"/>
    <col min="113" max="113" width="5" style="813" customWidth="1"/>
    <col min="114" max="115" width="8" style="813" customWidth="1"/>
    <col min="116" max="116" width="5" style="813" customWidth="1"/>
    <col min="117" max="118" width="8" style="813" customWidth="1"/>
    <col min="119" max="119" width="5" style="813" customWidth="1"/>
    <col min="120" max="120" width="4.85546875" style="813" customWidth="1"/>
    <col min="121" max="122" width="6.85546875" style="813" customWidth="1"/>
    <col min="123" max="123" width="4.85546875" style="813" customWidth="1"/>
    <col min="124" max="124" width="7.85546875" style="813" customWidth="1"/>
    <col min="125" max="126" width="6.85546875" style="813" customWidth="1"/>
    <col min="127" max="127" width="4.85546875" style="813" customWidth="1"/>
    <col min="128" max="128" width="7.85546875" style="813" customWidth="1"/>
    <col min="129" max="129" width="6.85546875" style="813" customWidth="1"/>
    <col min="130" max="132" width="4.85546875" style="813" customWidth="1"/>
    <col min="133" max="133" width="7.85546875" style="813" customWidth="1"/>
    <col min="134" max="134" width="4.85546875" style="813" customWidth="1"/>
    <col min="135" max="135" width="7.85546875" style="813" customWidth="1"/>
    <col min="136" max="136" width="4.85546875" style="813" customWidth="1"/>
    <col min="137" max="138" width="7.85546875" style="813" customWidth="1"/>
    <col min="139" max="139" width="6.85546875" style="813" customWidth="1"/>
    <col min="140" max="140" width="8.85546875" style="813" customWidth="1"/>
    <col min="141" max="142" width="5.85546875" style="813" customWidth="1"/>
    <col min="143" max="145" width="8.85546875" style="813" customWidth="1"/>
    <col min="146" max="146" width="7.85546875" style="813" customWidth="1"/>
    <col min="147" max="148" width="5.85546875" style="813" customWidth="1"/>
    <col min="149" max="152" width="8.85546875" style="813" customWidth="1"/>
    <col min="153" max="153" width="5.85546875" style="813" customWidth="1"/>
    <col min="154" max="154" width="7.85546875" style="813" customWidth="1"/>
    <col min="155" max="158" width="8.85546875" style="813" customWidth="1"/>
    <col min="159" max="159" width="5.85546875" style="813" customWidth="1"/>
    <col min="160" max="160" width="8.85546875" style="813" customWidth="1"/>
    <col min="161" max="171" width="5.85546875" style="813" customWidth="1"/>
    <col min="172" max="173" width="8.85546875" style="813" customWidth="1"/>
    <col min="174" max="174" width="5.85546875" style="813" customWidth="1"/>
    <col min="175" max="175" width="8.85546875" style="813" customWidth="1"/>
    <col min="176" max="179" width="5.85546875" style="813" customWidth="1"/>
    <col min="180" max="180" width="7.85546875" style="813" customWidth="1"/>
    <col min="181" max="183" width="5.85546875" style="813" customWidth="1"/>
    <col min="184" max="185" width="8.85546875" style="813" customWidth="1"/>
    <col min="186" max="187" width="5.85546875" style="813" customWidth="1"/>
    <col min="188" max="190" width="6.85546875" style="813" customWidth="1"/>
    <col min="191" max="192" width="9.85546875" style="813" bestFit="1" customWidth="1"/>
    <col min="193" max="195" width="6.85546875" style="813" customWidth="1"/>
    <col min="196" max="196" width="8.85546875" style="813" customWidth="1"/>
    <col min="197" max="197" width="9.85546875" style="813" bestFit="1" customWidth="1"/>
    <col min="198" max="199" width="6.85546875" style="813" customWidth="1"/>
    <col min="200" max="200" width="9.85546875" style="813" bestFit="1" customWidth="1"/>
    <col min="201" max="203" width="6.85546875" style="813" customWidth="1"/>
    <col min="204" max="206" width="9.85546875" style="813" bestFit="1" customWidth="1"/>
    <col min="207" max="207" width="6.85546875" style="813" customWidth="1"/>
    <col min="208" max="208" width="9.85546875" style="813" bestFit="1" customWidth="1"/>
    <col min="209" max="209" width="11" style="813" bestFit="1" customWidth="1"/>
    <col min="210" max="16384" width="9.140625" style="813"/>
  </cols>
  <sheetData>
    <row r="1" spans="1:10" x14ac:dyDescent="0.2">
      <c r="A1" s="1456" t="s">
        <v>703</v>
      </c>
      <c r="B1" s="1456"/>
      <c r="C1" s="1456"/>
      <c r="D1" s="1456"/>
      <c r="E1" s="1456"/>
      <c r="F1" s="1456"/>
      <c r="G1" s="1456"/>
      <c r="H1" s="1456"/>
      <c r="I1" s="1456"/>
      <c r="J1" s="1456"/>
    </row>
    <row r="2" spans="1:10" x14ac:dyDescent="0.2">
      <c r="A2" s="1456"/>
      <c r="B2" s="1456"/>
      <c r="C2" s="1456"/>
      <c r="D2" s="1456"/>
      <c r="E2" s="1456"/>
      <c r="F2" s="1456"/>
      <c r="G2" s="1456"/>
      <c r="H2" s="1456"/>
      <c r="I2" s="1456"/>
      <c r="J2" s="1456"/>
    </row>
    <row r="3" spans="1:10" x14ac:dyDescent="0.2">
      <c r="A3" s="1456"/>
      <c r="B3" s="1456"/>
      <c r="C3" s="1456"/>
      <c r="D3" s="1456"/>
      <c r="E3" s="1456"/>
      <c r="F3" s="1456"/>
      <c r="G3" s="1456"/>
      <c r="H3" s="1456"/>
      <c r="I3" s="1456"/>
      <c r="J3" s="1456"/>
    </row>
    <row r="5" spans="1:10" ht="20.25" x14ac:dyDescent="0.2">
      <c r="A5" s="842" t="s">
        <v>704</v>
      </c>
    </row>
    <row r="6" spans="1:10" ht="83.25" customHeight="1" x14ac:dyDescent="0.2">
      <c r="A6" s="1467" t="s">
        <v>705</v>
      </c>
      <c r="B6" s="1467"/>
      <c r="C6" s="1467"/>
      <c r="D6" s="1467"/>
      <c r="E6" s="1467"/>
      <c r="F6" s="1467"/>
      <c r="G6" s="1467"/>
      <c r="H6" s="1467"/>
      <c r="I6" s="1467"/>
      <c r="J6" s="1467"/>
    </row>
    <row r="7" spans="1:10" ht="61.5" customHeight="1" x14ac:dyDescent="0.2">
      <c r="A7" s="1466" t="s">
        <v>706</v>
      </c>
      <c r="B7" s="1466"/>
      <c r="C7" s="1466"/>
      <c r="D7" s="1466"/>
      <c r="E7" s="1466"/>
      <c r="F7" s="1466"/>
      <c r="G7" s="1466"/>
      <c r="H7" s="1466"/>
      <c r="I7" s="1466"/>
      <c r="J7" s="1466"/>
    </row>
    <row r="8" spans="1:10" ht="37.5" customHeight="1" x14ac:dyDescent="0.2">
      <c r="A8" s="1466" t="s">
        <v>707</v>
      </c>
      <c r="B8" s="1466"/>
      <c r="C8" s="1466"/>
      <c r="D8" s="1466"/>
      <c r="E8" s="1466"/>
      <c r="F8" s="1466"/>
      <c r="G8" s="1466"/>
      <c r="H8" s="1466"/>
      <c r="I8" s="1466"/>
      <c r="J8" s="1466"/>
    </row>
    <row r="9" spans="1:10" ht="41.25" customHeight="1" x14ac:dyDescent="0.2">
      <c r="A9" s="1466" t="s">
        <v>708</v>
      </c>
      <c r="B9" s="1466"/>
      <c r="C9" s="1466"/>
      <c r="D9" s="1466"/>
      <c r="E9" s="1466"/>
      <c r="F9" s="1466"/>
      <c r="G9" s="1466"/>
      <c r="H9" s="1466"/>
      <c r="I9" s="1466"/>
      <c r="J9" s="1466"/>
    </row>
    <row r="10" spans="1:10" ht="15.75" x14ac:dyDescent="0.2">
      <c r="A10" s="1466" t="s">
        <v>709</v>
      </c>
      <c r="B10" s="1466"/>
      <c r="C10" s="1466"/>
      <c r="D10" s="1466"/>
      <c r="E10" s="1466"/>
      <c r="F10" s="1466"/>
      <c r="G10" s="1466"/>
      <c r="H10" s="1466"/>
      <c r="I10" s="1466"/>
      <c r="J10" s="1466"/>
    </row>
    <row r="12" spans="1:10" x14ac:dyDescent="0.2">
      <c r="A12" s="813" t="s">
        <v>710</v>
      </c>
    </row>
    <row r="14" spans="1:10" ht="15.75" x14ac:dyDescent="0.2">
      <c r="A14" s="813" t="s">
        <v>711</v>
      </c>
    </row>
    <row r="16" spans="1:10" x14ac:dyDescent="0.2">
      <c r="A16" s="813" t="s">
        <v>712</v>
      </c>
    </row>
    <row r="18" spans="1:1" x14ac:dyDescent="0.2">
      <c r="A18" s="813" t="s">
        <v>713</v>
      </c>
    </row>
    <row r="20" spans="1:1" x14ac:dyDescent="0.2">
      <c r="A20" s="813" t="s">
        <v>714</v>
      </c>
    </row>
    <row r="22" spans="1:1" x14ac:dyDescent="0.2">
      <c r="A22" s="813" t="s">
        <v>715</v>
      </c>
    </row>
    <row r="24" spans="1:1" x14ac:dyDescent="0.2">
      <c r="A24" s="813" t="s">
        <v>716</v>
      </c>
    </row>
    <row r="26" spans="1:1" x14ac:dyDescent="0.2">
      <c r="A26" s="813" t="s">
        <v>717</v>
      </c>
    </row>
  </sheetData>
  <mergeCells count="6">
    <mergeCell ref="A10:J10"/>
    <mergeCell ref="A1:J3"/>
    <mergeCell ref="A6:J6"/>
    <mergeCell ref="A7:J7"/>
    <mergeCell ref="A8:J8"/>
    <mergeCell ref="A9:J9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0"/>
  </sheetPr>
  <dimension ref="A2:HA89"/>
  <sheetViews>
    <sheetView topLeftCell="A21" zoomScale="128" workbookViewId="0">
      <selection sqref="A1:N4"/>
    </sheetView>
  </sheetViews>
  <sheetFormatPr defaultColWidth="9.140625" defaultRowHeight="15" x14ac:dyDescent="0.2"/>
  <cols>
    <col min="1" max="1" width="5.85546875" style="813" customWidth="1"/>
    <col min="2" max="2" width="14.7109375" style="813" customWidth="1"/>
    <col min="3" max="3" width="17.140625" style="813" customWidth="1"/>
    <col min="4" max="4" width="14.7109375" style="813" customWidth="1"/>
    <col min="5" max="5" width="5" style="813" customWidth="1"/>
    <col min="6" max="6" width="11.85546875" style="813" bestFit="1" customWidth="1"/>
    <col min="7" max="7" width="13.5703125" style="813" bestFit="1" customWidth="1"/>
    <col min="8" max="8" width="11.42578125" style="813" bestFit="1" customWidth="1"/>
    <col min="9" max="9" width="11.5703125" style="813" bestFit="1" customWidth="1"/>
    <col min="10" max="10" width="7.5703125" style="813" bestFit="1" customWidth="1"/>
    <col min="11" max="11" width="6" style="813" customWidth="1"/>
    <col min="12" max="12" width="5" style="813" customWidth="1"/>
    <col min="13" max="15" width="3" style="813" customWidth="1"/>
    <col min="16" max="17" width="13.5703125" style="813" bestFit="1" customWidth="1"/>
    <col min="18" max="18" width="30.42578125" style="813" bestFit="1" customWidth="1"/>
    <col min="19" max="19" width="3" style="813" customWidth="1"/>
    <col min="20" max="21" width="6" style="813" customWidth="1"/>
    <col min="22" max="22" width="5" style="813" customWidth="1"/>
    <col min="23" max="23" width="7" style="813" customWidth="1"/>
    <col min="24" max="25" width="4" style="813" customWidth="1"/>
    <col min="26" max="28" width="7" style="813" customWidth="1"/>
    <col min="29" max="29" width="6" style="813" customWidth="1"/>
    <col min="30" max="31" width="4" style="813" customWidth="1"/>
    <col min="32" max="35" width="7" style="813" customWidth="1"/>
    <col min="36" max="36" width="4" style="813" customWidth="1"/>
    <col min="37" max="37" width="6" style="813" customWidth="1"/>
    <col min="38" max="41" width="7" style="813" customWidth="1"/>
    <col min="42" max="42" width="4" style="813" customWidth="1"/>
    <col min="43" max="43" width="7" style="813" customWidth="1"/>
    <col min="44" max="54" width="4" style="813" customWidth="1"/>
    <col min="55" max="56" width="7" style="813" customWidth="1"/>
    <col min="57" max="57" width="4" style="813" customWidth="1"/>
    <col min="58" max="58" width="7" style="813" customWidth="1"/>
    <col min="59" max="62" width="4" style="813" customWidth="1"/>
    <col min="63" max="63" width="6" style="813" customWidth="1"/>
    <col min="64" max="66" width="4" style="813" customWidth="1"/>
    <col min="67" max="68" width="7" style="813" customWidth="1"/>
    <col min="69" max="70" width="4" style="813" customWidth="1"/>
    <col min="71" max="73" width="5" style="813" customWidth="1"/>
    <col min="74" max="75" width="8" style="813" customWidth="1"/>
    <col min="76" max="78" width="5" style="813" customWidth="1"/>
    <col min="79" max="79" width="7" style="813" customWidth="1"/>
    <col min="80" max="80" width="8" style="813" customWidth="1"/>
    <col min="81" max="82" width="5" style="813" customWidth="1"/>
    <col min="83" max="83" width="8" style="813" customWidth="1"/>
    <col min="84" max="86" width="5" style="813" customWidth="1"/>
    <col min="87" max="89" width="8" style="813" customWidth="1"/>
    <col min="90" max="90" width="5" style="813" customWidth="1"/>
    <col min="91" max="91" width="8" style="813" customWidth="1"/>
    <col min="92" max="92" width="11" style="813" customWidth="1"/>
    <col min="93" max="93" width="4" style="813" customWidth="1"/>
    <col min="94" max="96" width="7" style="813" customWidth="1"/>
    <col min="97" max="98" width="4" style="813" customWidth="1"/>
    <col min="99" max="100" width="7" style="813" customWidth="1"/>
    <col min="101" max="101" width="5" style="813" customWidth="1"/>
    <col min="102" max="104" width="8" style="813" customWidth="1"/>
    <col min="105" max="105" width="5" style="813" customWidth="1"/>
    <col min="106" max="107" width="8" style="813" customWidth="1"/>
    <col min="108" max="110" width="5" style="813" customWidth="1"/>
    <col min="111" max="112" width="8" style="813" customWidth="1"/>
    <col min="113" max="113" width="5" style="813" customWidth="1"/>
    <col min="114" max="115" width="8" style="813" customWidth="1"/>
    <col min="116" max="116" width="5" style="813" customWidth="1"/>
    <col min="117" max="118" width="8" style="813" customWidth="1"/>
    <col min="119" max="119" width="5" style="813" customWidth="1"/>
    <col min="120" max="120" width="4.85546875" style="813" customWidth="1"/>
    <col min="121" max="122" width="6.85546875" style="813" customWidth="1"/>
    <col min="123" max="123" width="4.85546875" style="813" customWidth="1"/>
    <col min="124" max="124" width="7.85546875" style="813" customWidth="1"/>
    <col min="125" max="126" width="6.85546875" style="813" customWidth="1"/>
    <col min="127" max="127" width="4.85546875" style="813" customWidth="1"/>
    <col min="128" max="128" width="7.85546875" style="813" customWidth="1"/>
    <col min="129" max="129" width="6.85546875" style="813" customWidth="1"/>
    <col min="130" max="132" width="4.85546875" style="813" customWidth="1"/>
    <col min="133" max="133" width="7.85546875" style="813" customWidth="1"/>
    <col min="134" max="134" width="4.85546875" style="813" customWidth="1"/>
    <col min="135" max="135" width="7.85546875" style="813" customWidth="1"/>
    <col min="136" max="136" width="4.85546875" style="813" customWidth="1"/>
    <col min="137" max="138" width="7.85546875" style="813" customWidth="1"/>
    <col min="139" max="139" width="6.85546875" style="813" customWidth="1"/>
    <col min="140" max="140" width="8.85546875" style="813" customWidth="1"/>
    <col min="141" max="142" width="5.85546875" style="813" customWidth="1"/>
    <col min="143" max="145" width="8.85546875" style="813" customWidth="1"/>
    <col min="146" max="146" width="7.85546875" style="813" customWidth="1"/>
    <col min="147" max="148" width="5.85546875" style="813" customWidth="1"/>
    <col min="149" max="152" width="8.85546875" style="813" customWidth="1"/>
    <col min="153" max="153" width="5.85546875" style="813" customWidth="1"/>
    <col min="154" max="154" width="7.85546875" style="813" customWidth="1"/>
    <col min="155" max="158" width="8.85546875" style="813" customWidth="1"/>
    <col min="159" max="159" width="5.85546875" style="813" customWidth="1"/>
    <col min="160" max="160" width="8.85546875" style="813" customWidth="1"/>
    <col min="161" max="171" width="5.85546875" style="813" customWidth="1"/>
    <col min="172" max="173" width="8.85546875" style="813" customWidth="1"/>
    <col min="174" max="174" width="5.85546875" style="813" customWidth="1"/>
    <col min="175" max="175" width="8.85546875" style="813" customWidth="1"/>
    <col min="176" max="179" width="5.85546875" style="813" customWidth="1"/>
    <col min="180" max="180" width="7.85546875" style="813" customWidth="1"/>
    <col min="181" max="183" width="5.85546875" style="813" customWidth="1"/>
    <col min="184" max="185" width="8.85546875" style="813" customWidth="1"/>
    <col min="186" max="187" width="5.85546875" style="813" customWidth="1"/>
    <col min="188" max="190" width="6.85546875" style="813" customWidth="1"/>
    <col min="191" max="192" width="9.85546875" style="813" bestFit="1" customWidth="1"/>
    <col min="193" max="195" width="6.85546875" style="813" customWidth="1"/>
    <col min="196" max="196" width="8.85546875" style="813" customWidth="1"/>
    <col min="197" max="197" width="9.85546875" style="813" bestFit="1" customWidth="1"/>
    <col min="198" max="199" width="6.85546875" style="813" customWidth="1"/>
    <col min="200" max="200" width="9.85546875" style="813" bestFit="1" customWidth="1"/>
    <col min="201" max="203" width="6.85546875" style="813" customWidth="1"/>
    <col min="204" max="206" width="9.85546875" style="813" bestFit="1" customWidth="1"/>
    <col min="207" max="207" width="6.85546875" style="813" customWidth="1"/>
    <col min="208" max="208" width="9.85546875" style="813" bestFit="1" customWidth="1"/>
    <col min="209" max="209" width="11" style="813" bestFit="1" customWidth="1"/>
    <col min="210" max="16384" width="9.140625" style="813"/>
  </cols>
  <sheetData>
    <row r="2" spans="1:18" ht="19.5" x14ac:dyDescent="0.2">
      <c r="A2" s="1464" t="s">
        <v>718</v>
      </c>
      <c r="B2" s="1464"/>
      <c r="C2" s="1464"/>
      <c r="D2" s="1464"/>
      <c r="E2" s="1464"/>
      <c r="F2" s="1464"/>
      <c r="G2" s="1464"/>
      <c r="H2" s="1464"/>
      <c r="I2" s="1464"/>
      <c r="J2" s="1464"/>
    </row>
    <row r="3" spans="1:18" x14ac:dyDescent="0.2">
      <c r="A3" s="1459" t="s">
        <v>719</v>
      </c>
      <c r="B3" s="1459"/>
      <c r="C3" s="1459"/>
      <c r="D3" s="1459"/>
      <c r="E3" s="1459"/>
      <c r="F3" s="1459"/>
      <c r="G3" s="1459"/>
      <c r="H3" s="1459"/>
      <c r="I3" s="1459"/>
      <c r="J3" s="1459"/>
    </row>
    <row r="4" spans="1:18" x14ac:dyDescent="0.2">
      <c r="A4" s="1459"/>
      <c r="B4" s="1459"/>
      <c r="C4" s="1459"/>
      <c r="D4" s="1459"/>
      <c r="E4" s="1459"/>
      <c r="F4" s="1459"/>
      <c r="G4" s="1459"/>
      <c r="H4" s="1459"/>
      <c r="I4" s="1459"/>
      <c r="J4" s="1459"/>
    </row>
    <row r="5" spans="1:18" x14ac:dyDescent="0.2">
      <c r="A5" s="813">
        <v>2025</v>
      </c>
    </row>
    <row r="6" spans="1:18" ht="19.5" x14ac:dyDescent="0.2">
      <c r="A6" s="1460" t="s">
        <v>370</v>
      </c>
      <c r="B6" s="1460"/>
      <c r="C6" s="1460"/>
      <c r="D6" s="1460"/>
      <c r="E6" s="1460"/>
      <c r="F6" s="818"/>
      <c r="G6" s="818" t="s">
        <v>181</v>
      </c>
      <c r="H6" s="818" t="s">
        <v>720</v>
      </c>
      <c r="I6" s="818" t="s">
        <v>548</v>
      </c>
      <c r="J6" s="818"/>
    </row>
    <row r="7" spans="1:18" ht="18.75" x14ac:dyDescent="0.2">
      <c r="A7" s="818"/>
      <c r="B7" s="1451" t="s">
        <v>371</v>
      </c>
      <c r="C7" s="1451"/>
      <c r="D7" s="1451"/>
      <c r="E7" s="1451"/>
      <c r="F7" s="818"/>
      <c r="G7" s="822">
        <f>H7-I7</f>
        <v>-500</v>
      </c>
      <c r="H7" s="822">
        <f>SUM(H8:H11)</f>
        <v>2800</v>
      </c>
      <c r="I7" s="822">
        <f>SUM(I8:I11)</f>
        <v>3300</v>
      </c>
      <c r="J7" s="818"/>
    </row>
    <row r="8" spans="1:18" x14ac:dyDescent="0.2">
      <c r="A8" s="818"/>
      <c r="B8" s="818"/>
      <c r="C8" s="1452" t="s">
        <v>17</v>
      </c>
      <c r="D8" s="1452"/>
      <c r="E8" s="1452"/>
      <c r="F8" s="819"/>
      <c r="G8" s="821">
        <f>H8-I8</f>
        <v>0</v>
      </c>
      <c r="H8" s="821">
        <f>SUMIFS('Liste prévisionnel'!N:N,'Liste prévisionnel'!H:H,$A$6,'Liste prévisionnel'!I:I,$B$7,'Liste prévisionnel'!J:J,$C8,'Liste prévisionnel'!A:A,$A$5)</f>
        <v>2800</v>
      </c>
      <c r="I8" s="821">
        <f>SUMIFS('Liste prévisionnel'!O:O,'Liste prévisionnel'!H:H,$A$6,'Liste prévisionnel'!I:I,$B$7,'Liste prévisionnel'!J:J,$C8,'Liste prévisionnel'!A:A,$A$5)</f>
        <v>2800</v>
      </c>
      <c r="J8" s="818"/>
    </row>
    <row r="9" spans="1:18" x14ac:dyDescent="0.2">
      <c r="A9" s="818"/>
      <c r="B9" s="818"/>
      <c r="C9" s="1452" t="s">
        <v>673</v>
      </c>
      <c r="D9" s="1452"/>
      <c r="E9" s="1452"/>
      <c r="F9" s="819"/>
      <c r="G9" s="821">
        <f t="shared" ref="G9:G11" si="0">H9-I9</f>
        <v>0</v>
      </c>
      <c r="H9" s="821">
        <f>SUMIFS('Liste prévisionnel'!N:N,'Liste prévisionnel'!H:H,$A$6,'Liste prévisionnel'!I:I,$B$7,'Liste prévisionnel'!J:J,$C9,'Liste prévisionnel'!A:A,$A$5)</f>
        <v>0</v>
      </c>
      <c r="I9" s="821">
        <f>SUMIFS('Liste prévisionnel'!O:O,'Liste prévisionnel'!H:H,$A$6,'Liste prévisionnel'!I:I,$B$7,'Liste prévisionnel'!J:J,$C9,'Liste prévisionnel'!A:A,$A$5)</f>
        <v>0</v>
      </c>
      <c r="J9" s="818"/>
    </row>
    <row r="10" spans="1:18" ht="15.75" thickBot="1" x14ac:dyDescent="0.25">
      <c r="A10" s="818"/>
      <c r="B10" s="818"/>
      <c r="C10" s="1452" t="s">
        <v>416</v>
      </c>
      <c r="D10" s="1452"/>
      <c r="E10" s="1452"/>
      <c r="F10" s="819"/>
      <c r="G10" s="821">
        <f t="shared" si="0"/>
        <v>0</v>
      </c>
      <c r="H10" s="821">
        <f>SUMIFS('Liste prévisionnel'!N:N,'Liste prévisionnel'!H:H,$A$6,'Liste prévisionnel'!I:I,$B$7,'Liste prévisionnel'!J:J,$C10,'Liste prévisionnel'!A:A,$A$5)</f>
        <v>0</v>
      </c>
      <c r="I10" s="821">
        <f>SUMIFS('Liste prévisionnel'!O:O,'Liste prévisionnel'!H:H,$A$6,'Liste prévisionnel'!I:I,$B$7,'Liste prévisionnel'!J:J,$C10,'Liste prévisionnel'!A:A,$A$5)</f>
        <v>0</v>
      </c>
      <c r="J10" s="818"/>
    </row>
    <row r="11" spans="1:18" x14ac:dyDescent="0.2">
      <c r="A11" s="818"/>
      <c r="B11" s="818"/>
      <c r="C11" s="1452" t="s">
        <v>18</v>
      </c>
      <c r="D11" s="1452"/>
      <c r="E11" s="1452"/>
      <c r="F11" s="819"/>
      <c r="G11" s="821">
        <f t="shared" si="0"/>
        <v>-500</v>
      </c>
      <c r="H11" s="821">
        <f>SUMIFS('Liste prévisionnel'!N:N,'Liste prévisionnel'!H:H,$A$6,'Liste prévisionnel'!I:I,$B$7,'Liste prévisionnel'!J:J,$C11,'Liste prévisionnel'!A:A,$A$5)</f>
        <v>0</v>
      </c>
      <c r="I11" s="821">
        <f>SUMIFS('Liste prévisionnel'!O:O,'Liste prévisionnel'!H:H,$A$6,'Liste prévisionnel'!I:I,$B$7,'Liste prévisionnel'!J:J,$C11,'Liste prévisionnel'!A:A,$A$5)</f>
        <v>500</v>
      </c>
      <c r="J11" s="818"/>
      <c r="P11" s="885" t="s">
        <v>721</v>
      </c>
      <c r="Q11" s="886"/>
      <c r="R11" s="887"/>
    </row>
    <row r="12" spans="1:18" ht="15.75" x14ac:dyDescent="0.2">
      <c r="A12" s="818"/>
      <c r="B12" s="818"/>
      <c r="C12" s="818"/>
      <c r="D12" s="818"/>
      <c r="E12" s="818"/>
      <c r="F12" s="818"/>
      <c r="G12" s="821"/>
      <c r="H12" s="821"/>
      <c r="I12" s="821"/>
      <c r="J12" s="818"/>
      <c r="P12" s="888" t="s">
        <v>350</v>
      </c>
      <c r="Q12" s="816" t="s">
        <v>351</v>
      </c>
      <c r="R12" s="889" t="s">
        <v>352</v>
      </c>
    </row>
    <row r="13" spans="1:18" ht="18.75" x14ac:dyDescent="0.2">
      <c r="A13" s="818"/>
      <c r="B13" s="1451" t="s">
        <v>396</v>
      </c>
      <c r="C13" s="1451"/>
      <c r="D13" s="1451"/>
      <c r="E13" s="1451"/>
      <c r="F13" s="818"/>
      <c r="G13" s="822">
        <f>H13-I13</f>
        <v>-350</v>
      </c>
      <c r="H13" s="822">
        <f>SUM(H14:H15)</f>
        <v>0</v>
      </c>
      <c r="I13" s="822">
        <f>SUM(I14:I15)</f>
        <v>350</v>
      </c>
      <c r="J13" s="818"/>
      <c r="P13" s="890" t="s">
        <v>370</v>
      </c>
      <c r="Q13" s="813" t="s">
        <v>396</v>
      </c>
      <c r="R13" s="891" t="s">
        <v>17</v>
      </c>
    </row>
    <row r="14" spans="1:18" x14ac:dyDescent="0.2">
      <c r="A14" s="818"/>
      <c r="B14" s="818"/>
      <c r="C14" s="1452" t="s">
        <v>397</v>
      </c>
      <c r="D14" s="1452"/>
      <c r="E14" s="1452"/>
      <c r="F14" s="818"/>
      <c r="G14" s="821">
        <f t="shared" ref="G14:G15" si="1">H14-I14</f>
        <v>-350</v>
      </c>
      <c r="H14" s="821">
        <f>SUMIFS('Liste prévisionnel'!N:N,'Liste prévisionnel'!H:H,$A$6,'Liste prévisionnel'!I:I,$B$13,'Liste prévisionnel'!J:J,$C14,'Liste prévisionnel'!A:A,$A$5)</f>
        <v>0</v>
      </c>
      <c r="I14" s="821">
        <f>SUMIFS('Liste prévisionnel'!O:O,'Liste prévisionnel'!H:H,$A$6,'Liste prévisionnel'!I:I,$B$13,'Liste prévisionnel'!J:J,$C14,'Liste prévisionnel'!A:A,$A$5)</f>
        <v>350</v>
      </c>
      <c r="J14" s="818"/>
      <c r="P14" s="890" t="s">
        <v>365</v>
      </c>
      <c r="Q14" s="813" t="s">
        <v>373</v>
      </c>
      <c r="R14" s="891" t="s">
        <v>673</v>
      </c>
    </row>
    <row r="15" spans="1:18" x14ac:dyDescent="0.2">
      <c r="A15" s="818"/>
      <c r="B15" s="818"/>
      <c r="C15" s="1452" t="s">
        <v>722</v>
      </c>
      <c r="D15" s="1452"/>
      <c r="E15" s="1452"/>
      <c r="F15" s="818"/>
      <c r="G15" s="821">
        <f t="shared" si="1"/>
        <v>0</v>
      </c>
      <c r="H15" s="821">
        <f>SUMIFS('Liste prévisionnel'!N:N,'Liste prévisionnel'!H:H,$A$6,'Liste prévisionnel'!I:I,$B$13,'Liste prévisionnel'!J:J,$C15,'Liste prévisionnel'!A:A,$A$5)</f>
        <v>0</v>
      </c>
      <c r="I15" s="821">
        <f>SUMIFS('Liste prévisionnel'!O:O,'Liste prévisionnel'!H:H,$A$6,'Liste prévisionnel'!I:I,$B$13,'Liste prévisionnel'!J:J,$C15,'Liste prévisionnel'!A:A,$A$5)</f>
        <v>0</v>
      </c>
      <c r="J15" s="818"/>
      <c r="P15" s="890" t="s">
        <v>335</v>
      </c>
      <c r="Q15" s="813" t="s">
        <v>366</v>
      </c>
      <c r="R15" s="891" t="s">
        <v>416</v>
      </c>
    </row>
    <row r="16" spans="1:18" ht="15.75" thickBot="1" x14ac:dyDescent="0.25">
      <c r="A16" s="818"/>
      <c r="B16" s="818"/>
      <c r="C16" s="818"/>
      <c r="D16" s="818"/>
      <c r="E16" s="818"/>
      <c r="F16" s="818"/>
      <c r="G16" s="821"/>
      <c r="H16" s="821"/>
      <c r="I16" s="821"/>
      <c r="J16" s="818"/>
      <c r="P16" s="890" t="s">
        <v>723</v>
      </c>
      <c r="Q16" s="813" t="s">
        <v>401</v>
      </c>
      <c r="R16" s="891" t="s">
        <v>18</v>
      </c>
    </row>
    <row r="17" spans="1:18" ht="15.75" thickBot="1" x14ac:dyDescent="0.25">
      <c r="A17" s="818"/>
      <c r="B17" s="818"/>
      <c r="C17" s="818"/>
      <c r="D17" s="825" t="str">
        <f>CONCATENATE("Total ",A6," :")</f>
        <v>Total Vie de la région :</v>
      </c>
      <c r="E17" s="826"/>
      <c r="F17" s="826"/>
      <c r="G17" s="827">
        <f>G13+G7</f>
        <v>-850</v>
      </c>
      <c r="H17" s="827">
        <f>H13+H7</f>
        <v>2800</v>
      </c>
      <c r="I17" s="828">
        <f>I13+I7</f>
        <v>3650</v>
      </c>
      <c r="J17" s="818"/>
      <c r="P17" s="890"/>
      <c r="Q17" s="813" t="s">
        <v>360</v>
      </c>
      <c r="R17" s="891" t="s">
        <v>397</v>
      </c>
    </row>
    <row r="18" spans="1:18" x14ac:dyDescent="0.2">
      <c r="A18" s="818"/>
      <c r="B18" s="818"/>
      <c r="C18" s="818"/>
      <c r="D18" s="818"/>
      <c r="E18" s="818"/>
      <c r="F18" s="818"/>
      <c r="G18" s="840"/>
      <c r="H18" s="840"/>
      <c r="I18" s="840"/>
      <c r="J18" s="818"/>
      <c r="P18" s="890"/>
      <c r="Q18" s="813" t="s">
        <v>363</v>
      </c>
      <c r="R18" s="891" t="s">
        <v>722</v>
      </c>
    </row>
    <row r="19" spans="1:18" s="842" customFormat="1" ht="20.25" x14ac:dyDescent="0.2">
      <c r="A19" s="1461" t="s">
        <v>365</v>
      </c>
      <c r="B19" s="1461"/>
      <c r="C19" s="1461"/>
      <c r="D19" s="1461"/>
      <c r="E19" s="1461"/>
      <c r="F19" s="841"/>
      <c r="G19" s="841" t="s">
        <v>181</v>
      </c>
      <c r="H19" s="841" t="s">
        <v>720</v>
      </c>
      <c r="I19" s="841" t="s">
        <v>548</v>
      </c>
      <c r="J19" s="841"/>
      <c r="P19" s="890"/>
      <c r="Q19" s="813" t="s">
        <v>377</v>
      </c>
      <c r="R19" s="891" t="s">
        <v>332</v>
      </c>
    </row>
    <row r="20" spans="1:18" ht="18.75" x14ac:dyDescent="0.2">
      <c r="A20" s="820"/>
      <c r="B20" s="1453" t="s">
        <v>373</v>
      </c>
      <c r="C20" s="1453"/>
      <c r="D20" s="1453"/>
      <c r="E20" s="1453"/>
      <c r="F20" s="820"/>
      <c r="G20" s="823">
        <f>H20-I20</f>
        <v>4310</v>
      </c>
      <c r="H20" s="823">
        <f>SUMIFS('Liste prévisionnel'!N:N,'Liste prévisionnel'!H:H,$A$19,'Liste prévisionnel'!I:I,$B20,'Liste prévisionnel'!A:A,$A$5)</f>
        <v>42950</v>
      </c>
      <c r="I20" s="823">
        <f>SUMIFS('Liste prévisionnel'!O:O,'Liste prévisionnel'!H:H,$A$19,'Liste prévisionnel'!I:I,$B20,'Liste prévisionnel'!A:A,$A$5)</f>
        <v>38640</v>
      </c>
      <c r="J20" s="820"/>
      <c r="P20" s="890"/>
      <c r="R20" s="891" t="s">
        <v>376</v>
      </c>
    </row>
    <row r="21" spans="1:18" x14ac:dyDescent="0.2">
      <c r="A21" s="820"/>
      <c r="B21" s="820"/>
      <c r="C21" s="820"/>
      <c r="D21" s="820"/>
      <c r="E21" s="820"/>
      <c r="F21" s="820"/>
      <c r="G21" s="820"/>
      <c r="H21" s="820"/>
      <c r="I21" s="820"/>
      <c r="J21" s="820"/>
      <c r="P21" s="890"/>
      <c r="R21" s="891" t="s">
        <v>368</v>
      </c>
    </row>
    <row r="22" spans="1:18" ht="18.75" x14ac:dyDescent="0.2">
      <c r="A22" s="820"/>
      <c r="B22" s="1453" t="s">
        <v>366</v>
      </c>
      <c r="C22" s="1453"/>
      <c r="D22" s="1453"/>
      <c r="E22" s="1453"/>
      <c r="F22" s="820"/>
      <c r="G22" s="823">
        <f>H22-I22</f>
        <v>1740</v>
      </c>
      <c r="H22" s="823">
        <f>SUM(H23:H26)</f>
        <v>20740</v>
      </c>
      <c r="I22" s="823">
        <f>SUM(I23:I26)</f>
        <v>19000</v>
      </c>
      <c r="J22" s="820"/>
      <c r="P22" s="890"/>
      <c r="R22" s="891" t="s">
        <v>724</v>
      </c>
    </row>
    <row r="23" spans="1:18" x14ac:dyDescent="0.2">
      <c r="A23" s="820"/>
      <c r="B23" s="820"/>
      <c r="C23" s="1454" t="s">
        <v>332</v>
      </c>
      <c r="D23" s="1454"/>
      <c r="E23" s="1454"/>
      <c r="F23" s="820"/>
      <c r="G23" s="824">
        <f t="shared" ref="G23:G26" si="2">H23-I23</f>
        <v>990</v>
      </c>
      <c r="H23" s="824">
        <f>SUMIFS('Liste prévisionnel'!N:N,'Liste prévisionnel'!H:H,$A$19,'Liste prévisionnel'!I:I,$B$22,'Liste prévisionnel'!J:J,$C23,'Liste prévisionnel'!A:A,$A$5)</f>
        <v>7490</v>
      </c>
      <c r="I23" s="824">
        <f>SUMIFS('Liste prévisionnel'!O:O,'Liste prévisionnel'!H:H,$A$19,'Liste prévisionnel'!I:I,$B$22,'Liste prévisionnel'!J:J,$C23,'Liste prévisionnel'!A:A,$A$5)</f>
        <v>6500</v>
      </c>
      <c r="J23" s="820"/>
      <c r="P23" s="890"/>
      <c r="R23" s="891" t="s">
        <v>374</v>
      </c>
    </row>
    <row r="24" spans="1:18" x14ac:dyDescent="0.2">
      <c r="A24" s="820"/>
      <c r="B24" s="820"/>
      <c r="C24" s="1454" t="s">
        <v>376</v>
      </c>
      <c r="D24" s="1454"/>
      <c r="E24" s="1454"/>
      <c r="F24" s="820"/>
      <c r="G24" s="824">
        <f t="shared" si="2"/>
        <v>150</v>
      </c>
      <c r="H24" s="824">
        <f>SUMIFS('Liste prévisionnel'!N:N,'Liste prévisionnel'!H:H,$A$19,'Liste prévisionnel'!I:I,$B$22,'Liste prévisionnel'!J:J,$C24,'Liste prévisionnel'!A:A,$A$5)</f>
        <v>6650</v>
      </c>
      <c r="I24" s="824">
        <f>SUMIFS('Liste prévisionnel'!O:O,'Liste prévisionnel'!H:H,$A$19,'Liste prévisionnel'!I:I,$B$22,'Liste prévisionnel'!J:J,$C24,'Liste prévisionnel'!A:A,$A$5)</f>
        <v>6500</v>
      </c>
      <c r="J24" s="820"/>
      <c r="P24" s="890"/>
      <c r="R24" s="891" t="s">
        <v>401</v>
      </c>
    </row>
    <row r="25" spans="1:18" x14ac:dyDescent="0.2">
      <c r="A25" s="820"/>
      <c r="B25" s="820"/>
      <c r="C25" s="1454" t="s">
        <v>368</v>
      </c>
      <c r="D25" s="1454"/>
      <c r="E25" s="1454"/>
      <c r="F25" s="820"/>
      <c r="G25" s="824">
        <f t="shared" si="2"/>
        <v>300</v>
      </c>
      <c r="H25" s="824">
        <f>SUMIFS('Liste prévisionnel'!N:N,'Liste prévisionnel'!H:H,$A$19,'Liste prévisionnel'!I:I,$B$22,'Liste prévisionnel'!J:J,$C25,'Liste prévisionnel'!A:A,$A$5)</f>
        <v>3300</v>
      </c>
      <c r="I25" s="824">
        <f>SUMIFS('Liste prévisionnel'!O:O,'Liste prévisionnel'!H:H,$A$19,'Liste prévisionnel'!I:I,$B$22,'Liste prévisionnel'!J:J,$C25,'Liste prévisionnel'!A:A,$A$5)</f>
        <v>3000</v>
      </c>
      <c r="J25" s="820"/>
      <c r="P25" s="890"/>
      <c r="R25" s="891" t="s">
        <v>383</v>
      </c>
    </row>
    <row r="26" spans="1:18" x14ac:dyDescent="0.2">
      <c r="A26" s="820"/>
      <c r="B26" s="820"/>
      <c r="C26" s="1454" t="s">
        <v>724</v>
      </c>
      <c r="D26" s="1454"/>
      <c r="E26" s="1454"/>
      <c r="F26" s="820"/>
      <c r="G26" s="824">
        <f t="shared" si="2"/>
        <v>300</v>
      </c>
      <c r="H26" s="824">
        <f>SUMIFS('Liste prévisionnel'!N:N,'Liste prévisionnel'!H:H,$A$19,'Liste prévisionnel'!I:I,$B$22,'Liste prévisionnel'!J:J,$C26,'Liste prévisionnel'!A:A,$A$5)</f>
        <v>3300</v>
      </c>
      <c r="I26" s="824">
        <f>SUMIFS('Liste prévisionnel'!O:O,'Liste prévisionnel'!H:H,$A$19,'Liste prévisionnel'!I:I,$B$22,'Liste prévisionnel'!J:J,$C26,'Liste prévisionnel'!A:A,$A$5)</f>
        <v>3000</v>
      </c>
      <c r="J26" s="820"/>
      <c r="P26" s="890"/>
      <c r="R26" s="891" t="s">
        <v>421</v>
      </c>
    </row>
    <row r="27" spans="1:18" x14ac:dyDescent="0.2">
      <c r="A27" s="820"/>
      <c r="B27" s="820"/>
      <c r="C27" s="820"/>
      <c r="D27" s="820"/>
      <c r="E27" s="820"/>
      <c r="F27" s="820"/>
      <c r="G27" s="820"/>
      <c r="H27" s="820"/>
      <c r="I27" s="820"/>
      <c r="J27" s="820"/>
      <c r="P27" s="890"/>
      <c r="R27" s="891" t="s">
        <v>361</v>
      </c>
    </row>
    <row r="28" spans="1:18" ht="18.75" x14ac:dyDescent="0.2">
      <c r="A28" s="820"/>
      <c r="B28" s="1453"/>
      <c r="C28" s="1453"/>
      <c r="D28" s="1453"/>
      <c r="E28" s="1453"/>
      <c r="F28" s="820"/>
      <c r="G28" s="823">
        <f>H28-I28</f>
        <v>0</v>
      </c>
      <c r="H28" s="823">
        <f>SUMIFS('Liste prévisionnel'!N:N,'Liste prévisionnel'!H:H,$A$19,'Liste prévisionnel'!J:J,$B28,'Liste prévisionnel'!A:A,$A$5)</f>
        <v>0</v>
      </c>
      <c r="I28" s="823">
        <f>SUMIFS('Liste prévisionnel'!O:O,'Liste prévisionnel'!H:H,$A$19,'Liste prévisionnel'!J:J,$B28,'Liste prévisionnel'!A:A,$A$5)</f>
        <v>0</v>
      </c>
      <c r="J28" s="820"/>
      <c r="P28" s="890"/>
      <c r="R28" s="891" t="s">
        <v>340</v>
      </c>
    </row>
    <row r="29" spans="1:18" ht="15.75" thickBot="1" x14ac:dyDescent="0.25">
      <c r="A29" s="820"/>
      <c r="B29" s="820"/>
      <c r="C29" s="820"/>
      <c r="D29" s="820"/>
      <c r="E29" s="820"/>
      <c r="F29" s="820"/>
      <c r="G29" s="824"/>
      <c r="H29" s="824"/>
      <c r="I29" s="824"/>
      <c r="J29" s="820"/>
      <c r="P29" s="890"/>
      <c r="R29" s="891" t="s">
        <v>483</v>
      </c>
    </row>
    <row r="30" spans="1:18" ht="15.75" thickBot="1" x14ac:dyDescent="0.25">
      <c r="A30" s="820"/>
      <c r="B30" s="820"/>
      <c r="C30" s="820"/>
      <c r="D30" s="829" t="str">
        <f>CONCATENATE("Total ",A19," :")</f>
        <v>Total Pédagogie :</v>
      </c>
      <c r="E30" s="830"/>
      <c r="F30" s="830"/>
      <c r="G30" s="831">
        <f>G22+G20+G28</f>
        <v>6050</v>
      </c>
      <c r="H30" s="831">
        <f>H22+H20+H28</f>
        <v>63690</v>
      </c>
      <c r="I30" s="832">
        <f>I22+I20+I28</f>
        <v>57640</v>
      </c>
      <c r="J30" s="820"/>
      <c r="P30" s="890"/>
      <c r="R30" s="891" t="s">
        <v>343</v>
      </c>
    </row>
    <row r="31" spans="1:18" x14ac:dyDescent="0.2">
      <c r="A31" s="820"/>
      <c r="B31" s="820"/>
      <c r="C31" s="820"/>
      <c r="D31" s="820"/>
      <c r="E31" s="820"/>
      <c r="F31" s="820"/>
      <c r="G31" s="824"/>
      <c r="H31" s="824"/>
      <c r="I31" s="824"/>
      <c r="J31" s="820"/>
      <c r="P31" s="890"/>
      <c r="R31" s="891" t="s">
        <v>336</v>
      </c>
    </row>
    <row r="32" spans="1:18" s="842" customFormat="1" ht="20.25" x14ac:dyDescent="0.2">
      <c r="A32" s="1450" t="s">
        <v>335</v>
      </c>
      <c r="B32" s="1450"/>
      <c r="C32" s="1450"/>
      <c r="D32" s="1450"/>
      <c r="E32" s="1450"/>
      <c r="F32" s="843"/>
      <c r="G32" s="843"/>
      <c r="H32" s="843"/>
      <c r="I32" s="843"/>
      <c r="J32" s="843"/>
      <c r="P32" s="890"/>
      <c r="Q32" s="813"/>
      <c r="R32" s="891" t="s">
        <v>362</v>
      </c>
    </row>
    <row r="33" spans="1:18" ht="18.75" x14ac:dyDescent="0.2">
      <c r="A33" s="817"/>
      <c r="B33" s="1465" t="s">
        <v>360</v>
      </c>
      <c r="C33" s="1465"/>
      <c r="D33" s="1465"/>
      <c r="E33" s="1465"/>
      <c r="F33" s="817"/>
      <c r="G33" s="833">
        <f>H33-I33</f>
        <v>-442.77000000000044</v>
      </c>
      <c r="H33" s="833">
        <f>SUM(H34:H38)</f>
        <v>4440</v>
      </c>
      <c r="I33" s="833">
        <f>SUM(I34:I38)</f>
        <v>4882.7700000000004</v>
      </c>
      <c r="J33" s="817"/>
      <c r="P33" s="890"/>
      <c r="R33" s="891" t="s">
        <v>333</v>
      </c>
    </row>
    <row r="34" spans="1:18" x14ac:dyDescent="0.2">
      <c r="A34" s="817"/>
      <c r="B34" s="817"/>
      <c r="C34" s="1455" t="s">
        <v>383</v>
      </c>
      <c r="D34" s="1455"/>
      <c r="E34" s="1455"/>
      <c r="F34" s="817"/>
      <c r="G34" s="834">
        <f t="shared" ref="G34" si="3">H34-I34</f>
        <v>-63.6</v>
      </c>
      <c r="H34" s="834">
        <f>SUMIFS('Liste prévisionnel'!N:N,'Liste prévisionnel'!H:H,$A$32,'Liste prévisionnel'!I:I,$B$33,'Liste prévisionnel'!J:J,$C34,'Liste prévisionnel'!A:A,$A$5)</f>
        <v>0</v>
      </c>
      <c r="I34" s="834">
        <f>SUMIFS('Liste prévisionnel'!O:O,'Liste prévisionnel'!H:H,$A$32,'Liste prévisionnel'!I:I,$B$33,'Liste prévisionnel'!J:J,$C34,'Liste prévisionnel'!A:A,$A$5)</f>
        <v>63.6</v>
      </c>
      <c r="J34" s="817"/>
      <c r="P34" s="890"/>
      <c r="R34" s="891" t="s">
        <v>378</v>
      </c>
    </row>
    <row r="35" spans="1:18" hidden="1" x14ac:dyDescent="0.2">
      <c r="A35" s="817"/>
      <c r="B35" s="817"/>
      <c r="C35" s="1455" t="s">
        <v>421</v>
      </c>
      <c r="D35" s="1455"/>
      <c r="E35" s="1455"/>
      <c r="F35" s="817"/>
      <c r="G35" s="834">
        <f t="shared" ref="G35:G36" si="4">H35-I35</f>
        <v>0</v>
      </c>
      <c r="H35" s="834">
        <f>SUMIFS('Liste prévisionnel'!N:N,'Liste prévisionnel'!H:H,$A$32,'Liste prévisionnel'!I:I,$B$33,'Liste prévisionnel'!J:J,$C35,'Liste prévisionnel'!A:A,$A$5)</f>
        <v>0</v>
      </c>
      <c r="I35" s="834">
        <f>SUMIFS('Liste prévisionnel'!O:O,'Liste prévisionnel'!H:H,$A$32,'Liste prévisionnel'!I:I,$B$33,'Liste prévisionnel'!J:J,$C35,'Liste prévisionnel'!A:A,$A$5)</f>
        <v>0</v>
      </c>
      <c r="J35" s="817"/>
      <c r="P35" s="890"/>
      <c r="R35" s="891" t="s">
        <v>375</v>
      </c>
    </row>
    <row r="36" spans="1:18" x14ac:dyDescent="0.2">
      <c r="A36" s="817"/>
      <c r="B36" s="817"/>
      <c r="C36" s="1455" t="s">
        <v>361</v>
      </c>
      <c r="D36" s="1455"/>
      <c r="E36" s="1455"/>
      <c r="F36" s="817"/>
      <c r="G36" s="834">
        <f t="shared" si="4"/>
        <v>-70</v>
      </c>
      <c r="H36" s="834">
        <f>SUMIFS('Liste prévisionnel'!N:N,'Liste prévisionnel'!H:H,$A$32,'Liste prévisionnel'!I:I,$B$33,'Liste prévisionnel'!J:J,$C36,'Liste prévisionnel'!A:A,$A$5)</f>
        <v>0</v>
      </c>
      <c r="I36" s="834">
        <f>SUMIFS('Liste prévisionnel'!O:O,'Liste prévisionnel'!H:H,$A$32,'Liste prévisionnel'!I:I,$B$33,'Liste prévisionnel'!J:J,$C36,'Liste prévisionnel'!A:A,$A$5)</f>
        <v>70</v>
      </c>
      <c r="J36" s="817"/>
      <c r="P36" s="890"/>
      <c r="R36" s="891"/>
    </row>
    <row r="37" spans="1:18" ht="15.75" thickBot="1" x14ac:dyDescent="0.25">
      <c r="A37" s="817"/>
      <c r="B37" s="817"/>
      <c r="C37" s="1455" t="s">
        <v>340</v>
      </c>
      <c r="D37" s="1455"/>
      <c r="E37" s="1455"/>
      <c r="F37" s="817"/>
      <c r="G37" s="834">
        <f t="shared" ref="G37" si="5">H37-I37</f>
        <v>-309.17000000000007</v>
      </c>
      <c r="H37" s="834">
        <f>SUMIFS('Liste prévisionnel'!N:N,'Liste prévisionnel'!H:H,$A$32,'Liste prévisionnel'!I:I,$B$33,'Liste prévisionnel'!J:J,$C37,'Liste prévisionnel'!A:A,$A$5)</f>
        <v>4440</v>
      </c>
      <c r="I37" s="834">
        <f>SUMIFS('Liste prévisionnel'!O:O,'Liste prévisionnel'!H:H,$A$32,'Liste prévisionnel'!I:I,$B$33,'Liste prévisionnel'!J:J,$C37,'Liste prévisionnel'!A:A,$A$5)</f>
        <v>4749.17</v>
      </c>
      <c r="J37" s="817"/>
      <c r="P37" s="892"/>
      <c r="Q37" s="893"/>
      <c r="R37" s="894"/>
    </row>
    <row r="38" spans="1:18" x14ac:dyDescent="0.2">
      <c r="A38" s="817"/>
      <c r="B38" s="817"/>
      <c r="C38" s="1455" t="s">
        <v>483</v>
      </c>
      <c r="D38" s="1455"/>
      <c r="E38" s="1455"/>
      <c r="F38" s="817"/>
      <c r="G38" s="834">
        <f t="shared" ref="G38" si="6">H38-I38</f>
        <v>0</v>
      </c>
      <c r="H38" s="834">
        <f>SUMIFS('Liste prévisionnel'!N:N,'Liste prévisionnel'!H:H,$A$32,'Liste prévisionnel'!I:I,$B$33,'Liste prévisionnel'!J:J,$C38,'Liste prévisionnel'!A:A,$A$5)</f>
        <v>0</v>
      </c>
      <c r="I38" s="834">
        <f>SUMIFS('Liste prévisionnel'!O:O,'Liste prévisionnel'!H:H,$A$32,'Liste prévisionnel'!I:I,$B$33,'Liste prévisionnel'!J:J,$C38,'Liste prévisionnel'!A:A,$A$5)</f>
        <v>0</v>
      </c>
      <c r="J38" s="817"/>
    </row>
    <row r="39" spans="1:18" x14ac:dyDescent="0.2">
      <c r="A39" s="817"/>
      <c r="B39" s="817"/>
      <c r="C39" s="835"/>
      <c r="D39" s="835"/>
      <c r="E39" s="835"/>
      <c r="F39" s="817"/>
      <c r="G39" s="817"/>
      <c r="H39" s="817"/>
      <c r="I39" s="817"/>
      <c r="J39" s="817"/>
    </row>
    <row r="40" spans="1:18" ht="18.75" x14ac:dyDescent="0.2">
      <c r="A40" s="817"/>
      <c r="B40" s="1465" t="s">
        <v>363</v>
      </c>
      <c r="C40" s="1465"/>
      <c r="D40" s="1465"/>
      <c r="E40" s="1465"/>
      <c r="F40" s="817"/>
      <c r="G40" s="833">
        <f>H40-I40</f>
        <v>-1757.6</v>
      </c>
      <c r="H40" s="833">
        <f>SUM(H41:H43)</f>
        <v>350</v>
      </c>
      <c r="I40" s="833">
        <f>SUM(I41:I43)</f>
        <v>2107.6</v>
      </c>
      <c r="J40" s="817"/>
    </row>
    <row r="41" spans="1:18" x14ac:dyDescent="0.2">
      <c r="A41" s="817"/>
      <c r="B41" s="817"/>
      <c r="C41" s="1455" t="s">
        <v>343</v>
      </c>
      <c r="D41" s="1455"/>
      <c r="E41" s="1455"/>
      <c r="F41" s="817"/>
      <c r="G41" s="834">
        <f t="shared" ref="G41" si="7">H41-I41</f>
        <v>-1757.6</v>
      </c>
      <c r="H41" s="834">
        <f>SUMIFS('Liste prévisionnel'!N:N,'Liste prévisionnel'!H:H,$A$32,'Liste prévisionnel'!I:I,$B$40,'Liste prévisionnel'!J:J,$C41,'Liste prévisionnel'!A:A,$A$5)</f>
        <v>0</v>
      </c>
      <c r="I41" s="834">
        <f>SUMIFS('Liste prévisionnel'!O:O,'Liste prévisionnel'!H:H,$A$32,'Liste prévisionnel'!I:I,$B$40,'Liste prévisionnel'!J:J,$C41,'Liste prévisionnel'!A:A,$A$5)</f>
        <v>1757.6</v>
      </c>
      <c r="J41" s="817"/>
    </row>
    <row r="42" spans="1:18" x14ac:dyDescent="0.2">
      <c r="A42" s="817"/>
      <c r="B42" s="817"/>
      <c r="C42" s="1455" t="s">
        <v>336</v>
      </c>
      <c r="D42" s="1455"/>
      <c r="E42" s="1455"/>
      <c r="F42" s="817"/>
      <c r="G42" s="834">
        <f t="shared" ref="G42:G43" si="8">H42-I42</f>
        <v>0</v>
      </c>
      <c r="H42" s="834">
        <f>SUMIFS('Liste prévisionnel'!N:N,'Liste prévisionnel'!H:H,$A$32,'Liste prévisionnel'!I:I,$B$40,'Liste prévisionnel'!J:J,$C42,'Liste prévisionnel'!A:A,$A$5)</f>
        <v>0</v>
      </c>
      <c r="I42" s="834">
        <f>SUMIFS('Liste prévisionnel'!O:O,'Liste prévisionnel'!H:H,$A$32,'Liste prévisionnel'!I:I,$B$40,'Liste prévisionnel'!J:J,$C42,'Liste prévisionnel'!A:A,$A$5)</f>
        <v>0</v>
      </c>
      <c r="J42" s="817"/>
    </row>
    <row r="43" spans="1:18" x14ac:dyDescent="0.2">
      <c r="A43" s="817"/>
      <c r="B43" s="817"/>
      <c r="C43" s="1455" t="s">
        <v>362</v>
      </c>
      <c r="D43" s="1455"/>
      <c r="E43" s="1455"/>
      <c r="F43" s="817"/>
      <c r="G43" s="834">
        <f t="shared" si="8"/>
        <v>0</v>
      </c>
      <c r="H43" s="834">
        <f>SUMIFS('Liste prévisionnel'!N:N,'Liste prévisionnel'!H:H,$A$32,'Liste prévisionnel'!I:I,$B$40,'Liste prévisionnel'!J:J,$C43,'Liste prévisionnel'!A:A,$A$5)</f>
        <v>350</v>
      </c>
      <c r="I43" s="834">
        <f>SUMIFS('Liste prévisionnel'!O:O,'Liste prévisionnel'!H:H,$A$32,'Liste prévisionnel'!I:I,$B$40,'Liste prévisionnel'!J:J,$C43,'Liste prévisionnel'!A:A,$A$5)</f>
        <v>350</v>
      </c>
      <c r="J43" s="817"/>
    </row>
    <row r="44" spans="1:18" x14ac:dyDescent="0.2">
      <c r="A44" s="817"/>
      <c r="B44" s="817"/>
      <c r="C44" s="817"/>
      <c r="D44" s="817"/>
      <c r="E44" s="817"/>
      <c r="F44" s="817"/>
      <c r="G44" s="834"/>
      <c r="H44" s="834"/>
      <c r="I44" s="834"/>
      <c r="J44" s="817"/>
    </row>
    <row r="45" spans="1:18" ht="18.75" x14ac:dyDescent="0.2">
      <c r="A45" s="817"/>
      <c r="B45" s="1465" t="s">
        <v>377</v>
      </c>
      <c r="C45" s="1465"/>
      <c r="D45" s="1465"/>
      <c r="E45" s="1465"/>
      <c r="F45" s="817"/>
      <c r="G45" s="833">
        <f>H45-I45</f>
        <v>660.35999999999967</v>
      </c>
      <c r="H45" s="833">
        <f>SUM(H46:H48)</f>
        <v>2950</v>
      </c>
      <c r="I45" s="833">
        <f>SUM(I46:I48)</f>
        <v>2289.6400000000003</v>
      </c>
      <c r="J45" s="817"/>
    </row>
    <row r="46" spans="1:18" x14ac:dyDescent="0.2">
      <c r="A46" s="817"/>
      <c r="B46" s="817"/>
      <c r="C46" s="1455" t="s">
        <v>333</v>
      </c>
      <c r="D46" s="1455"/>
      <c r="E46" s="1455"/>
      <c r="F46" s="817"/>
      <c r="G46" s="834">
        <f t="shared" ref="G46:G47" si="9">H46-I46</f>
        <v>516.45000000000005</v>
      </c>
      <c r="H46" s="834">
        <f>SUMIFS('Liste prévisionnel'!N:N,'Liste prévisionnel'!H:H,$A$32,'Liste prévisionnel'!I:I,$B$45,'Liste prévisionnel'!J:J,$C46,'Liste prévisionnel'!A:A,$A$5)</f>
        <v>1750</v>
      </c>
      <c r="I46" s="834">
        <f>SUMIFS('Liste prévisionnel'!O:O,'Liste prévisionnel'!H:H,$A$32,'Liste prévisionnel'!I:I,$B$45,'Liste prévisionnel'!J:J,$C46,'Liste prévisionnel'!A:A,$A$5)</f>
        <v>1233.55</v>
      </c>
      <c r="J46" s="817"/>
    </row>
    <row r="47" spans="1:18" x14ac:dyDescent="0.2">
      <c r="A47" s="817"/>
      <c r="B47" s="817"/>
      <c r="C47" s="1455" t="s">
        <v>378</v>
      </c>
      <c r="D47" s="1455"/>
      <c r="E47" s="1455"/>
      <c r="F47" s="817"/>
      <c r="G47" s="834">
        <f t="shared" si="9"/>
        <v>143.90999999999985</v>
      </c>
      <c r="H47" s="834">
        <f>SUMIFS('Liste prévisionnel'!N:N,'Liste prévisionnel'!H:H,$A$32,'Liste prévisionnel'!I:I,$B$45,'Liste prévisionnel'!J:J,$C47,'Liste prévisionnel'!A:A,$A$5)</f>
        <v>1200</v>
      </c>
      <c r="I47" s="834">
        <f>SUMIFS('Liste prévisionnel'!O:O,'Liste prévisionnel'!H:H,$A$32,'Liste prévisionnel'!I:I,$B$45,'Liste prévisionnel'!J:J,$C47,'Liste prévisionnel'!A:A,$A$5)</f>
        <v>1056.0900000000001</v>
      </c>
      <c r="J47" s="817"/>
    </row>
    <row r="48" spans="1:18" ht="15.75" thickBot="1" x14ac:dyDescent="0.25">
      <c r="A48" s="817"/>
      <c r="B48" s="817"/>
      <c r="C48" s="817"/>
      <c r="D48" s="817"/>
      <c r="E48" s="817"/>
      <c r="F48" s="817"/>
      <c r="G48" s="817"/>
      <c r="H48" s="817"/>
      <c r="I48" s="817"/>
      <c r="J48" s="817"/>
    </row>
    <row r="49" spans="1:14" ht="15.75" thickBot="1" x14ac:dyDescent="0.25">
      <c r="A49" s="817"/>
      <c r="B49" s="817"/>
      <c r="C49" s="817"/>
      <c r="D49" s="836" t="str">
        <f>CONCATENATE("Total ",A32," :")</f>
        <v>Total Fonctionnement :</v>
      </c>
      <c r="E49" s="837"/>
      <c r="F49" s="837"/>
      <c r="G49" s="838">
        <f>G40+G33+G45</f>
        <v>-1540.0100000000007</v>
      </c>
      <c r="H49" s="838">
        <f>H41+H39+H47</f>
        <v>1200</v>
      </c>
      <c r="I49" s="839">
        <f>I41+I39+I47</f>
        <v>2813.69</v>
      </c>
      <c r="J49" s="817"/>
    </row>
    <row r="50" spans="1:14" ht="15.75" thickBot="1" x14ac:dyDescent="0.25">
      <c r="A50" s="817"/>
      <c r="B50" s="817"/>
      <c r="C50" s="817"/>
      <c r="D50" s="817"/>
      <c r="E50" s="817"/>
      <c r="F50" s="817"/>
      <c r="G50" s="817"/>
      <c r="H50" s="817"/>
      <c r="I50" s="817"/>
      <c r="J50" s="817"/>
    </row>
    <row r="51" spans="1:14" ht="25.5" customHeight="1" thickBot="1" x14ac:dyDescent="0.25">
      <c r="D51" s="880" t="s">
        <v>725</v>
      </c>
      <c r="E51" s="881"/>
      <c r="F51" s="881"/>
      <c r="G51" s="882">
        <f>G49+G30+G17</f>
        <v>3659.99</v>
      </c>
      <c r="H51" s="882">
        <f>H49+H30+H17</f>
        <v>67690</v>
      </c>
      <c r="I51" s="883">
        <f>I49+I30+I17</f>
        <v>64103.69</v>
      </c>
    </row>
    <row r="52" spans="1:14" x14ac:dyDescent="0.2">
      <c r="G52" s="813" t="s">
        <v>181</v>
      </c>
      <c r="H52" s="813" t="s">
        <v>720</v>
      </c>
      <c r="I52" s="813" t="s">
        <v>548</v>
      </c>
    </row>
    <row r="54" spans="1:14" x14ac:dyDescent="0.2">
      <c r="G54" s="1215" t="s">
        <v>323</v>
      </c>
      <c r="H54" s="1216"/>
      <c r="I54" s="1217"/>
    </row>
    <row r="55" spans="1:14" x14ac:dyDescent="0.2">
      <c r="A55" s="846"/>
      <c r="B55" s="844"/>
      <c r="C55" s="844"/>
      <c r="D55" s="844"/>
      <c r="E55" s="844"/>
      <c r="F55" s="844"/>
      <c r="G55" s="1218">
        <f>G51-G41-'Liste prévisionnel'!M1</f>
        <v>308.59000000000015</v>
      </c>
      <c r="H55" s="1219"/>
      <c r="I55" s="1220"/>
      <c r="J55" s="844"/>
    </row>
    <row r="57" spans="1:14" ht="35.25" customHeight="1" x14ac:dyDescent="0.2"/>
    <row r="59" spans="1:14" x14ac:dyDescent="0.2">
      <c r="A59"/>
      <c r="B59"/>
    </row>
    <row r="60" spans="1:14" x14ac:dyDescent="0.2">
      <c r="B60"/>
      <c r="C60"/>
    </row>
    <row r="61" spans="1:14" x14ac:dyDescent="0.2">
      <c r="B61"/>
      <c r="C61"/>
    </row>
    <row r="63" spans="1:14" x14ac:dyDescent="0.2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x14ac:dyDescent="0.2">
      <c r="B64" s="845"/>
      <c r="C64" s="845"/>
      <c r="D64"/>
      <c r="E64"/>
      <c r="F64"/>
      <c r="G64"/>
      <c r="H64"/>
      <c r="I64"/>
      <c r="J64"/>
      <c r="K64"/>
      <c r="L64"/>
      <c r="M64"/>
      <c r="N64"/>
    </row>
    <row r="65" spans="1:209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</row>
    <row r="66" spans="1:209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</row>
    <row r="67" spans="1:209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</row>
    <row r="68" spans="1:209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</row>
    <row r="69" spans="1:209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</row>
    <row r="70" spans="1:209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</row>
    <row r="71" spans="1:209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</row>
    <row r="72" spans="1:209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</row>
    <row r="73" spans="1:209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</row>
    <row r="74" spans="1:209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</row>
    <row r="75" spans="1:209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</row>
    <row r="76" spans="1:209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</row>
    <row r="77" spans="1:209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</row>
    <row r="78" spans="1:209" x14ac:dyDescent="0.2">
      <c r="A78"/>
      <c r="B78"/>
      <c r="C78"/>
    </row>
    <row r="79" spans="1:209" x14ac:dyDescent="0.2">
      <c r="A79"/>
      <c r="B79"/>
      <c r="C79"/>
    </row>
    <row r="80" spans="1:209" x14ac:dyDescent="0.2">
      <c r="A80"/>
      <c r="B80"/>
      <c r="C80"/>
    </row>
    <row r="81" spans="1:3" x14ac:dyDescent="0.2">
      <c r="A81"/>
      <c r="B81"/>
      <c r="C81"/>
    </row>
    <row r="82" spans="1:3" x14ac:dyDescent="0.2">
      <c r="A82"/>
      <c r="B82"/>
      <c r="C82"/>
    </row>
    <row r="83" spans="1:3" x14ac:dyDescent="0.2">
      <c r="A83"/>
      <c r="B83"/>
      <c r="C83"/>
    </row>
    <row r="84" spans="1:3" x14ac:dyDescent="0.2">
      <c r="A84"/>
      <c r="B84"/>
      <c r="C84"/>
    </row>
    <row r="85" spans="1:3" x14ac:dyDescent="0.2">
      <c r="A85"/>
      <c r="B85"/>
      <c r="C85"/>
    </row>
    <row r="86" spans="1:3" x14ac:dyDescent="0.2">
      <c r="A86"/>
      <c r="B86"/>
      <c r="C86"/>
    </row>
    <row r="87" spans="1:3" x14ac:dyDescent="0.2">
      <c r="A87"/>
      <c r="B87"/>
      <c r="C87"/>
    </row>
    <row r="88" spans="1:3" x14ac:dyDescent="0.2">
      <c r="A88"/>
      <c r="B88"/>
      <c r="C88"/>
    </row>
    <row r="89" spans="1:3" x14ac:dyDescent="0.2">
      <c r="A89"/>
      <c r="B89"/>
      <c r="C89"/>
    </row>
  </sheetData>
  <mergeCells count="33">
    <mergeCell ref="B45:E45"/>
    <mergeCell ref="C46:E46"/>
    <mergeCell ref="C47:E47"/>
    <mergeCell ref="C37:E37"/>
    <mergeCell ref="C38:E38"/>
    <mergeCell ref="B40:E40"/>
    <mergeCell ref="C41:E41"/>
    <mergeCell ref="C42:E42"/>
    <mergeCell ref="C43:E43"/>
    <mergeCell ref="C36:E36"/>
    <mergeCell ref="B20:E20"/>
    <mergeCell ref="B22:E22"/>
    <mergeCell ref="C23:E23"/>
    <mergeCell ref="C24:E24"/>
    <mergeCell ref="C25:E25"/>
    <mergeCell ref="C26:E26"/>
    <mergeCell ref="B28:E28"/>
    <mergeCell ref="A32:E32"/>
    <mergeCell ref="B33:E33"/>
    <mergeCell ref="C34:E34"/>
    <mergeCell ref="C35:E35"/>
    <mergeCell ref="A19:E19"/>
    <mergeCell ref="A2:J2"/>
    <mergeCell ref="A3:J4"/>
    <mergeCell ref="A6:E6"/>
    <mergeCell ref="B7:E7"/>
    <mergeCell ref="C8:E8"/>
    <mergeCell ref="C9:E9"/>
    <mergeCell ref="C10:E10"/>
    <mergeCell ref="C11:E11"/>
    <mergeCell ref="B13:E13"/>
    <mergeCell ref="C14:E14"/>
    <mergeCell ref="C15:E15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/>
  </sheetPr>
  <dimension ref="A1:AB439"/>
  <sheetViews>
    <sheetView topLeftCell="A428" zoomScale="130" workbookViewId="0">
      <selection sqref="A1:N4"/>
    </sheetView>
  </sheetViews>
  <sheetFormatPr defaultColWidth="9.140625" defaultRowHeight="15" x14ac:dyDescent="0.2"/>
  <cols>
    <col min="1" max="1" width="16.7109375" style="813" customWidth="1"/>
    <col min="2" max="2" width="17.85546875" style="813" customWidth="1"/>
    <col min="3" max="3" width="17.140625" style="813" customWidth="1"/>
    <col min="4" max="4" width="33.28515625" style="813" bestFit="1" customWidth="1"/>
    <col min="5" max="5" width="14.5703125" style="813" customWidth="1"/>
    <col min="6" max="6" width="11.140625" style="813" customWidth="1"/>
    <col min="7" max="7" width="12.7109375" style="813" bestFit="1" customWidth="1"/>
    <col min="8" max="8" width="4" style="813" hidden="1" customWidth="1"/>
    <col min="9" max="9" width="5.140625" style="813" customWidth="1"/>
    <col min="10" max="10" width="7.5703125" style="813" bestFit="1" customWidth="1"/>
    <col min="11" max="11" width="6" style="813" customWidth="1"/>
    <col min="12" max="12" width="6.42578125" style="813" bestFit="1" customWidth="1"/>
    <col min="13" max="15" width="3" style="813" customWidth="1"/>
    <col min="16" max="16" width="6" style="813" customWidth="1"/>
    <col min="17" max="17" width="3" style="813" customWidth="1"/>
    <col min="18" max="18" width="6" style="813" customWidth="1"/>
    <col min="19" max="19" width="3" style="813" customWidth="1"/>
    <col min="20" max="21" width="6" style="813" customWidth="1"/>
    <col min="22" max="22" width="5" style="813" customWidth="1"/>
    <col min="23" max="23" width="7" style="813" customWidth="1"/>
    <col min="24" max="24" width="15.85546875" style="813" bestFit="1" customWidth="1"/>
    <col min="25" max="25" width="4" style="813" customWidth="1"/>
    <col min="26" max="28" width="7" style="813" customWidth="1"/>
    <col min="29" max="29" width="6" style="813" customWidth="1"/>
    <col min="30" max="31" width="4" style="813" customWidth="1"/>
    <col min="32" max="35" width="7" style="813" customWidth="1"/>
    <col min="36" max="36" width="4" style="813" customWidth="1"/>
    <col min="37" max="37" width="6" style="813" customWidth="1"/>
    <col min="38" max="41" width="7" style="813" customWidth="1"/>
    <col min="42" max="42" width="4" style="813" customWidth="1"/>
    <col min="43" max="43" width="7" style="813" customWidth="1"/>
    <col min="44" max="54" width="4" style="813" customWidth="1"/>
    <col min="55" max="56" width="7" style="813" customWidth="1"/>
    <col min="57" max="57" width="4" style="813" customWidth="1"/>
    <col min="58" max="58" width="7" style="813" customWidth="1"/>
    <col min="59" max="62" width="4" style="813" customWidth="1"/>
    <col min="63" max="63" width="6" style="813" customWidth="1"/>
    <col min="64" max="66" width="4" style="813" customWidth="1"/>
    <col min="67" max="68" width="7" style="813" customWidth="1"/>
    <col min="69" max="70" width="4" style="813" customWidth="1"/>
    <col min="71" max="73" width="5" style="813" customWidth="1"/>
    <col min="74" max="75" width="8" style="813" customWidth="1"/>
    <col min="76" max="78" width="5" style="813" customWidth="1"/>
    <col min="79" max="79" width="7" style="813" customWidth="1"/>
    <col min="80" max="80" width="8" style="813" customWidth="1"/>
    <col min="81" max="82" width="5" style="813" customWidth="1"/>
    <col min="83" max="83" width="8" style="813" customWidth="1"/>
    <col min="84" max="86" width="5" style="813" customWidth="1"/>
    <col min="87" max="89" width="8" style="813" customWidth="1"/>
    <col min="90" max="90" width="5" style="813" customWidth="1"/>
    <col min="91" max="91" width="8" style="813" customWidth="1"/>
    <col min="92" max="92" width="11" style="813" customWidth="1"/>
    <col min="93" max="93" width="4" style="813" customWidth="1"/>
    <col min="94" max="96" width="7" style="813" customWidth="1"/>
    <col min="97" max="98" width="4" style="813" customWidth="1"/>
    <col min="99" max="100" width="7" style="813" customWidth="1"/>
    <col min="101" max="101" width="5" style="813" customWidth="1"/>
    <col min="102" max="104" width="8" style="813" customWidth="1"/>
    <col min="105" max="105" width="5" style="813" customWidth="1"/>
    <col min="106" max="107" width="8" style="813" customWidth="1"/>
    <col min="108" max="110" width="5" style="813" customWidth="1"/>
    <col min="111" max="112" width="8" style="813" customWidth="1"/>
    <col min="113" max="113" width="5" style="813" customWidth="1"/>
    <col min="114" max="115" width="8" style="813" customWidth="1"/>
    <col min="116" max="116" width="5" style="813" customWidth="1"/>
    <col min="117" max="118" width="8" style="813" customWidth="1"/>
    <col min="119" max="119" width="5" style="813" customWidth="1"/>
    <col min="120" max="120" width="4.85546875" style="813" customWidth="1"/>
    <col min="121" max="122" width="6.85546875" style="813" customWidth="1"/>
    <col min="123" max="123" width="4.85546875" style="813" customWidth="1"/>
    <col min="124" max="124" width="7.85546875" style="813" customWidth="1"/>
    <col min="125" max="126" width="6.85546875" style="813" customWidth="1"/>
    <col min="127" max="127" width="4.85546875" style="813" customWidth="1"/>
    <col min="128" max="128" width="7.85546875" style="813" customWidth="1"/>
    <col min="129" max="129" width="6.85546875" style="813" customWidth="1"/>
    <col min="130" max="132" width="4.85546875" style="813" customWidth="1"/>
    <col min="133" max="133" width="7.85546875" style="813" customWidth="1"/>
    <col min="134" max="134" width="4.85546875" style="813" customWidth="1"/>
    <col min="135" max="135" width="7.85546875" style="813" customWidth="1"/>
    <col min="136" max="136" width="4.85546875" style="813" customWidth="1"/>
    <col min="137" max="138" width="7.85546875" style="813" customWidth="1"/>
    <col min="139" max="139" width="6.85546875" style="813" customWidth="1"/>
    <col min="140" max="140" width="8.85546875" style="813" customWidth="1"/>
    <col min="141" max="142" width="5.85546875" style="813" customWidth="1"/>
    <col min="143" max="145" width="8.85546875" style="813" customWidth="1"/>
    <col min="146" max="146" width="7.85546875" style="813" customWidth="1"/>
    <col min="147" max="148" width="5.85546875" style="813" customWidth="1"/>
    <col min="149" max="152" width="8.85546875" style="813" customWidth="1"/>
    <col min="153" max="153" width="5.85546875" style="813" customWidth="1"/>
    <col min="154" max="154" width="7.85546875" style="813" customWidth="1"/>
    <col min="155" max="158" width="8.85546875" style="813" customWidth="1"/>
    <col min="159" max="159" width="5.85546875" style="813" customWidth="1"/>
    <col min="160" max="160" width="8.85546875" style="813" customWidth="1"/>
    <col min="161" max="171" width="5.85546875" style="813" customWidth="1"/>
    <col min="172" max="173" width="8.85546875" style="813" customWidth="1"/>
    <col min="174" max="174" width="5.85546875" style="813" customWidth="1"/>
    <col min="175" max="175" width="8.85546875" style="813" customWidth="1"/>
    <col min="176" max="179" width="5.85546875" style="813" customWidth="1"/>
    <col min="180" max="180" width="7.85546875" style="813" customWidth="1"/>
    <col min="181" max="183" width="5.85546875" style="813" customWidth="1"/>
    <col min="184" max="185" width="8.85546875" style="813" customWidth="1"/>
    <col min="186" max="187" width="5.85546875" style="813" customWidth="1"/>
    <col min="188" max="190" width="6.85546875" style="813" customWidth="1"/>
    <col min="191" max="192" width="9.85546875" style="813" bestFit="1" customWidth="1"/>
    <col min="193" max="195" width="6.85546875" style="813" customWidth="1"/>
    <col min="196" max="196" width="8.85546875" style="813" customWidth="1"/>
    <col min="197" max="197" width="9.85546875" style="813" bestFit="1" customWidth="1"/>
    <col min="198" max="199" width="6.85546875" style="813" customWidth="1"/>
    <col min="200" max="200" width="9.85546875" style="813" bestFit="1" customWidth="1"/>
    <col min="201" max="203" width="6.85546875" style="813" customWidth="1"/>
    <col min="204" max="206" width="9.85546875" style="813" bestFit="1" customWidth="1"/>
    <col min="207" max="207" width="6.85546875" style="813" customWidth="1"/>
    <col min="208" max="208" width="9.85546875" style="813" bestFit="1" customWidth="1"/>
    <col min="209" max="209" width="11" style="813" bestFit="1" customWidth="1"/>
    <col min="210" max="16384" width="9.140625" style="813"/>
  </cols>
  <sheetData>
    <row r="1" spans="1:22" ht="19.5" x14ac:dyDescent="0.2">
      <c r="A1" s="1463" t="s">
        <v>370</v>
      </c>
      <c r="B1" s="1463"/>
      <c r="C1" s="1463"/>
      <c r="D1" s="1463"/>
      <c r="E1" s="1463"/>
      <c r="F1" s="1463"/>
      <c r="G1" s="1463"/>
      <c r="H1" s="1463"/>
      <c r="I1" s="1463"/>
      <c r="J1" s="1463"/>
      <c r="K1" s="1463"/>
      <c r="L1" s="1463"/>
      <c r="M1" s="1463"/>
      <c r="N1" s="1463"/>
    </row>
    <row r="3" spans="1:22" ht="15.75" x14ac:dyDescent="0.2">
      <c r="A3" s="816" t="s">
        <v>726</v>
      </c>
      <c r="H3" s="816"/>
    </row>
    <row r="5" spans="1:22" ht="24.75" x14ac:dyDescent="0.2">
      <c r="B5" s="1468" t="s">
        <v>17</v>
      </c>
      <c r="C5" s="1468"/>
      <c r="D5" s="1468"/>
      <c r="I5" s="1468"/>
      <c r="J5" s="1468"/>
      <c r="K5" s="1468"/>
    </row>
    <row r="7" spans="1:22" ht="33" customHeight="1" x14ac:dyDescent="0.2">
      <c r="A7" s="1462" t="s">
        <v>727</v>
      </c>
      <c r="B7" s="1462"/>
      <c r="C7" s="1462"/>
      <c r="D7" s="1462"/>
      <c r="E7" s="1462"/>
      <c r="F7" s="1462"/>
      <c r="G7" s="1462"/>
      <c r="H7" s="1462"/>
      <c r="I7" s="1462"/>
      <c r="J7" s="1462"/>
      <c r="K7" s="1462"/>
      <c r="L7" s="1462"/>
      <c r="M7" s="1462"/>
      <c r="N7" s="1462"/>
    </row>
    <row r="9" spans="1:22" x14ac:dyDescent="0.2">
      <c r="A9" s="813" t="s">
        <v>728</v>
      </c>
    </row>
    <row r="10" spans="1:22" ht="15.75" thickBot="1" x14ac:dyDescent="0.25">
      <c r="A10"/>
      <c r="B10"/>
      <c r="H10"/>
      <c r="I10"/>
    </row>
    <row r="11" spans="1:22" x14ac:dyDescent="0.2">
      <c r="B11" s="1470" t="s">
        <v>356</v>
      </c>
      <c r="C11" s="1471"/>
      <c r="D11" s="1470" t="s">
        <v>355</v>
      </c>
      <c r="E11" s="1471"/>
    </row>
    <row r="12" spans="1:22" x14ac:dyDescent="0.2">
      <c r="B12" s="859"/>
      <c r="C12" s="858"/>
      <c r="D12" s="857"/>
      <c r="E12" s="858"/>
    </row>
    <row r="13" spans="1:22" x14ac:dyDescent="0.2">
      <c r="A13" s="867" t="s">
        <v>17</v>
      </c>
      <c r="B13" s="853" t="s">
        <v>215</v>
      </c>
      <c r="C13" s="854">
        <f>-(SUMIFS('Liste prévisionnel'!E:E,'Liste prévisionnel'!J:J,A13,'Liste prévisionnel'!G:G,O13,'Liste prévisionnel'!E:E,"&lt;0"))</f>
        <v>800</v>
      </c>
      <c r="D13" s="856" t="s">
        <v>411</v>
      </c>
      <c r="E13" s="854">
        <f>SUMIFS('Liste prévisionnel'!E:E,'Liste prévisionnel'!J:J,A13,'Liste prévisionnel'!G:G,U13,'Liste prévisionnel'!E:E,"&gt;0")</f>
        <v>2800</v>
      </c>
      <c r="O13" s="850" t="s">
        <v>364</v>
      </c>
      <c r="P13" s="850"/>
      <c r="Q13" s="850"/>
      <c r="R13" s="850"/>
      <c r="S13" s="850"/>
      <c r="T13" s="850"/>
      <c r="U13" s="850" t="s">
        <v>386</v>
      </c>
      <c r="V13" s="850"/>
    </row>
    <row r="14" spans="1:22" x14ac:dyDescent="0.2">
      <c r="A14" s="867" t="s">
        <v>17</v>
      </c>
      <c r="B14" s="853" t="s">
        <v>393</v>
      </c>
      <c r="C14" s="854">
        <f>-(SUMIFS('Liste prévisionnel'!E:E,'Liste prévisionnel'!J:J,A14,'Liste prévisionnel'!G:G,O14))</f>
        <v>1000</v>
      </c>
      <c r="D14" s="856"/>
      <c r="E14" s="854"/>
      <c r="F14"/>
      <c r="G14"/>
      <c r="O14" s="850" t="s">
        <v>393</v>
      </c>
      <c r="P14" s="850"/>
      <c r="Q14" s="850"/>
      <c r="R14" s="850"/>
      <c r="S14" s="850"/>
      <c r="T14" s="850"/>
      <c r="U14" s="850"/>
      <c r="V14" s="850"/>
    </row>
    <row r="15" spans="1:22" x14ac:dyDescent="0.2">
      <c r="A15" s="867" t="s">
        <v>17</v>
      </c>
      <c r="B15" s="855" t="s">
        <v>384</v>
      </c>
      <c r="C15" s="854">
        <f>-(SUMIFS('Liste prévisionnel'!E:E,'Liste prévisionnel'!J:J,A15,'Liste prévisionnel'!G:G,O15,'Liste prévisionnel'!E:E,"&lt;0"))</f>
        <v>1000</v>
      </c>
      <c r="D15" s="856"/>
      <c r="E15" s="854"/>
      <c r="F15"/>
      <c r="G15"/>
      <c r="O15" s="850" t="s">
        <v>384</v>
      </c>
      <c r="P15" s="850" t="s">
        <v>410</v>
      </c>
      <c r="Q15" s="850"/>
      <c r="R15" s="850"/>
      <c r="S15" s="850"/>
      <c r="T15" s="850"/>
      <c r="U15" s="850"/>
      <c r="V15" s="850"/>
    </row>
    <row r="16" spans="1:22" x14ac:dyDescent="0.2">
      <c r="B16" s="855"/>
      <c r="C16" s="854"/>
      <c r="D16" s="856"/>
      <c r="E16" s="854"/>
      <c r="F16"/>
      <c r="G16"/>
      <c r="O16" s="850"/>
      <c r="P16" s="850"/>
      <c r="Q16" s="850"/>
      <c r="R16" s="850"/>
      <c r="S16" s="850"/>
      <c r="T16" s="850"/>
      <c r="U16" s="850"/>
      <c r="V16" s="850"/>
    </row>
    <row r="17" spans="1:22" x14ac:dyDescent="0.2">
      <c r="B17" s="855"/>
      <c r="C17" s="854"/>
      <c r="D17" s="856"/>
      <c r="E17" s="854"/>
      <c r="F17"/>
      <c r="G17"/>
      <c r="O17" s="850"/>
      <c r="P17" s="850"/>
      <c r="Q17" s="850"/>
      <c r="R17" s="850"/>
      <c r="S17" s="850"/>
      <c r="T17" s="850"/>
      <c r="U17" s="850"/>
      <c r="V17" s="850"/>
    </row>
    <row r="18" spans="1:22" x14ac:dyDescent="0.2">
      <c r="B18" s="855"/>
      <c r="C18" s="854"/>
      <c r="D18" s="856"/>
      <c r="E18" s="854"/>
      <c r="F18"/>
      <c r="G18"/>
      <c r="O18" s="850"/>
      <c r="P18" s="850"/>
      <c r="Q18" s="850"/>
      <c r="R18" s="850"/>
      <c r="S18" s="850"/>
      <c r="T18" s="850"/>
      <c r="U18" s="850"/>
      <c r="V18" s="850"/>
    </row>
    <row r="19" spans="1:22" ht="15.75" thickBot="1" x14ac:dyDescent="0.25">
      <c r="B19" s="861" t="s">
        <v>729</v>
      </c>
      <c r="C19" s="860">
        <f>SUM(C13:C16)</f>
        <v>2800</v>
      </c>
      <c r="D19" s="862" t="s">
        <v>730</v>
      </c>
      <c r="E19" s="860">
        <f>SUM(E13:E16)</f>
        <v>2800</v>
      </c>
      <c r="F19"/>
      <c r="G19"/>
    </row>
    <row r="20" spans="1:22" ht="15.75" thickBot="1" x14ac:dyDescent="0.25">
      <c r="B20" s="852"/>
      <c r="C20" s="851"/>
      <c r="D20" s="851"/>
      <c r="E20" s="851"/>
      <c r="F20"/>
      <c r="G20"/>
    </row>
    <row r="21" spans="1:22" ht="15.75" thickBot="1" x14ac:dyDescent="0.25">
      <c r="B21" s="852"/>
      <c r="C21" s="863" t="s">
        <v>731</v>
      </c>
      <c r="D21" s="864">
        <f>E19-C19</f>
        <v>0</v>
      </c>
      <c r="E21" s="851"/>
      <c r="F21"/>
      <c r="G21"/>
    </row>
    <row r="22" spans="1:22" x14ac:dyDescent="0.2">
      <c r="A22"/>
      <c r="B22"/>
      <c r="C22"/>
      <c r="H22"/>
      <c r="I22"/>
      <c r="J22"/>
    </row>
    <row r="23" spans="1:22" x14ac:dyDescent="0.2">
      <c r="A23" s="1469" t="s">
        <v>732</v>
      </c>
      <c r="B23" s="1462"/>
      <c r="C23" s="1462"/>
      <c r="D23" s="1462"/>
      <c r="E23" s="1462"/>
      <c r="F23" s="1462"/>
      <c r="G23" s="1462"/>
      <c r="H23" s="1462"/>
      <c r="I23" s="1462"/>
      <c r="J23" s="1462"/>
      <c r="K23" s="1462"/>
      <c r="L23" s="1462"/>
      <c r="M23" s="1462"/>
      <c r="N23" s="1462"/>
    </row>
    <row r="24" spans="1:22" x14ac:dyDescent="0.2">
      <c r="A24" s="1462"/>
      <c r="B24" s="1462"/>
      <c r="C24" s="1462"/>
      <c r="D24" s="1462"/>
      <c r="E24" s="1462"/>
      <c r="F24" s="1462"/>
      <c r="G24" s="1462"/>
      <c r="H24" s="1462"/>
      <c r="I24" s="1462"/>
      <c r="J24" s="1462"/>
      <c r="K24" s="1462"/>
      <c r="L24" s="1462"/>
      <c r="M24" s="1462"/>
      <c r="N24" s="1462"/>
    </row>
    <row r="25" spans="1:22" x14ac:dyDescent="0.2">
      <c r="A25" s="1462"/>
      <c r="B25" s="1462"/>
      <c r="C25" s="1462"/>
      <c r="D25" s="1462"/>
      <c r="E25" s="1462"/>
      <c r="F25" s="1462"/>
      <c r="G25" s="1462"/>
      <c r="H25" s="1462"/>
      <c r="I25" s="1462"/>
      <c r="J25" s="1462"/>
      <c r="K25" s="1462"/>
      <c r="L25" s="1462"/>
      <c r="M25" s="1462"/>
      <c r="N25" s="1462"/>
    </row>
    <row r="27" spans="1:22" ht="24.75" x14ac:dyDescent="0.2">
      <c r="B27" s="1468" t="s">
        <v>673</v>
      </c>
      <c r="C27" s="1468"/>
      <c r="D27" s="1468"/>
    </row>
    <row r="29" spans="1:22" ht="92.25" customHeight="1" x14ac:dyDescent="0.2">
      <c r="A29" s="1469" t="s">
        <v>733</v>
      </c>
      <c r="B29" s="1462"/>
      <c r="C29" s="1462"/>
      <c r="D29" s="1462"/>
      <c r="E29" s="1462"/>
      <c r="F29" s="1462"/>
      <c r="G29" s="1462"/>
    </row>
    <row r="31" spans="1:22" ht="15.75" thickBot="1" x14ac:dyDescent="0.25">
      <c r="A31" s="813" t="s">
        <v>728</v>
      </c>
    </row>
    <row r="32" spans="1:22" x14ac:dyDescent="0.2">
      <c r="B32" s="1470" t="s">
        <v>356</v>
      </c>
      <c r="C32" s="1471"/>
      <c r="D32" s="1470" t="s">
        <v>355</v>
      </c>
      <c r="E32" s="1471"/>
    </row>
    <row r="33" spans="1:22" x14ac:dyDescent="0.2">
      <c r="B33" s="859"/>
      <c r="C33" s="858"/>
      <c r="D33" s="857"/>
      <c r="E33" s="858"/>
    </row>
    <row r="34" spans="1:22" x14ac:dyDescent="0.2">
      <c r="A34" s="867" t="s">
        <v>14</v>
      </c>
      <c r="B34" s="853" t="s">
        <v>414</v>
      </c>
      <c r="C34" s="854">
        <f>-(SUMIFS('Liste prévisionnel'!E:E,'Liste prévisionnel'!J:J,A34,'Liste prévisionnel'!G:G,O34,'Liste prévisionnel'!E:E,"&lt;0"))</f>
        <v>0</v>
      </c>
      <c r="D34" s="856" t="s">
        <v>734</v>
      </c>
      <c r="E34" s="854">
        <f>SUMIFS('Liste prévisionnel'!E:E,'Liste prévisionnel'!J:J,A34,'Liste prévisionnel'!G:G,U34,'Liste prévisionnel'!E:E,"&gt;0")</f>
        <v>0</v>
      </c>
      <c r="O34" s="850" t="s">
        <v>414</v>
      </c>
      <c r="P34" s="850"/>
      <c r="Q34" s="850"/>
      <c r="R34" s="850"/>
      <c r="S34" s="850"/>
      <c r="T34" s="850"/>
      <c r="U34" s="850" t="s">
        <v>414</v>
      </c>
      <c r="V34" s="850"/>
    </row>
    <row r="35" spans="1:22" x14ac:dyDescent="0.2">
      <c r="A35" s="867" t="s">
        <v>14</v>
      </c>
      <c r="B35" s="853" t="s">
        <v>411</v>
      </c>
      <c r="C35" s="854">
        <f>-(SUMIFS('Liste prévisionnel'!E:E,'Liste prévisionnel'!J:J,A35,'Liste prévisionnel'!G:G,O35))</f>
        <v>0</v>
      </c>
      <c r="D35" s="856"/>
      <c r="E35" s="854"/>
      <c r="F35"/>
      <c r="G35"/>
      <c r="O35" s="850" t="s">
        <v>415</v>
      </c>
      <c r="P35" s="850"/>
      <c r="Q35" s="850"/>
      <c r="R35" s="850"/>
      <c r="S35" s="850"/>
      <c r="T35" s="850"/>
      <c r="U35" s="850"/>
      <c r="V35" s="850"/>
    </row>
    <row r="36" spans="1:22" x14ac:dyDescent="0.2">
      <c r="B36" s="855"/>
      <c r="C36" s="854"/>
      <c r="D36" s="856"/>
      <c r="E36" s="854"/>
      <c r="F36"/>
      <c r="G36"/>
      <c r="O36" s="850"/>
      <c r="P36" s="850"/>
      <c r="Q36" s="850"/>
      <c r="R36" s="850"/>
      <c r="S36" s="850"/>
      <c r="T36" s="850"/>
      <c r="U36" s="850"/>
      <c r="V36" s="850"/>
    </row>
    <row r="37" spans="1:22" ht="15.75" thickBot="1" x14ac:dyDescent="0.25">
      <c r="B37" s="861" t="s">
        <v>729</v>
      </c>
      <c r="C37" s="860">
        <f>SUM(C34:C35)</f>
        <v>0</v>
      </c>
      <c r="D37" s="862" t="s">
        <v>730</v>
      </c>
      <c r="E37" s="860">
        <f>SUM(E34:E35)</f>
        <v>0</v>
      </c>
      <c r="F37"/>
      <c r="G37"/>
    </row>
    <row r="38" spans="1:22" ht="15.75" thickBot="1" x14ac:dyDescent="0.25">
      <c r="B38" s="852"/>
      <c r="C38" s="851"/>
      <c r="D38" s="851"/>
      <c r="E38" s="851"/>
      <c r="F38"/>
      <c r="G38"/>
    </row>
    <row r="39" spans="1:22" ht="15.75" thickBot="1" x14ac:dyDescent="0.25">
      <c r="B39" s="852"/>
      <c r="C39" s="863" t="s">
        <v>731</v>
      </c>
      <c r="D39" s="864">
        <f>E37-C37</f>
        <v>0</v>
      </c>
      <c r="E39" s="851"/>
      <c r="F39"/>
      <c r="G39"/>
    </row>
    <row r="40" spans="1:22" x14ac:dyDescent="0.2">
      <c r="B40" s="852"/>
      <c r="C40" s="868"/>
      <c r="D40" s="868"/>
      <c r="E40" s="851"/>
      <c r="F40"/>
      <c r="G40"/>
    </row>
    <row r="41" spans="1:22" x14ac:dyDescent="0.2">
      <c r="A41" s="1462" t="s">
        <v>735</v>
      </c>
      <c r="B41" s="1462"/>
      <c r="C41" s="1462"/>
      <c r="D41" s="1462"/>
      <c r="E41" s="1462"/>
      <c r="F41" s="1462"/>
      <c r="G41" s="1462"/>
    </row>
    <row r="42" spans="1:22" x14ac:dyDescent="0.2">
      <c r="A42" s="1462"/>
      <c r="B42" s="1462"/>
      <c r="C42" s="1462"/>
      <c r="D42" s="1462"/>
      <c r="E42" s="1462"/>
      <c r="F42" s="1462"/>
      <c r="G42" s="1462"/>
    </row>
    <row r="43" spans="1:22" x14ac:dyDescent="0.2">
      <c r="A43" s="1462"/>
      <c r="B43" s="1462"/>
      <c r="C43" s="1462"/>
      <c r="D43" s="1462"/>
      <c r="E43" s="1462"/>
      <c r="F43" s="1462"/>
      <c r="G43" s="1462"/>
    </row>
    <row r="44" spans="1:22" x14ac:dyDescent="0.2">
      <c r="A44" s="1462"/>
      <c r="B44" s="1462"/>
      <c r="C44" s="1462"/>
      <c r="D44" s="1462"/>
      <c r="E44" s="1462"/>
      <c r="F44" s="1462"/>
      <c r="G44" s="1462"/>
    </row>
    <row r="46" spans="1:22" ht="19.5" x14ac:dyDescent="0.2">
      <c r="A46" s="1463" t="s">
        <v>370</v>
      </c>
      <c r="B46" s="1463"/>
      <c r="C46" s="1463"/>
      <c r="D46" s="1463"/>
      <c r="E46" s="1463"/>
      <c r="F46" s="1463"/>
      <c r="G46" s="1463"/>
      <c r="I46" s="849"/>
      <c r="J46" s="849"/>
    </row>
    <row r="48" spans="1:22" ht="15.75" x14ac:dyDescent="0.2">
      <c r="A48" s="816" t="s">
        <v>726</v>
      </c>
    </row>
    <row r="50" spans="1:22" ht="24.75" x14ac:dyDescent="0.2">
      <c r="B50" s="1468" t="s">
        <v>736</v>
      </c>
      <c r="C50" s="1468"/>
      <c r="D50" s="1468"/>
    </row>
    <row r="52" spans="1:22" ht="51" customHeight="1" x14ac:dyDescent="0.2">
      <c r="A52" s="1462" t="s">
        <v>737</v>
      </c>
      <c r="B52" s="1462"/>
      <c r="C52" s="1462"/>
      <c r="D52" s="1462"/>
      <c r="E52" s="1462"/>
      <c r="F52" s="1462"/>
      <c r="G52" s="1462"/>
    </row>
    <row r="54" spans="1:22" x14ac:dyDescent="0.2">
      <c r="A54" s="813" t="s">
        <v>728</v>
      </c>
    </row>
    <row r="55" spans="1:22" ht="15.75" thickBot="1" x14ac:dyDescent="0.25">
      <c r="A55"/>
      <c r="B55"/>
    </row>
    <row r="56" spans="1:22" x14ac:dyDescent="0.2">
      <c r="B56" s="1470" t="s">
        <v>356</v>
      </c>
      <c r="C56" s="1471"/>
      <c r="D56" s="1470" t="s">
        <v>355</v>
      </c>
      <c r="E56" s="1471"/>
    </row>
    <row r="57" spans="1:22" x14ac:dyDescent="0.2">
      <c r="B57" s="859"/>
      <c r="C57" s="858"/>
      <c r="D57" s="857"/>
      <c r="E57" s="858"/>
    </row>
    <row r="58" spans="1:22" x14ac:dyDescent="0.2">
      <c r="A58" s="867" t="s">
        <v>416</v>
      </c>
      <c r="B58" s="853" t="s">
        <v>738</v>
      </c>
      <c r="C58" s="854">
        <f>-(SUMIFS('Liste prévisionnel'!E:E,'Liste prévisionnel'!J:J,A58,'Liste prévisionnel'!G:G,O58,'Liste prévisionnel'!E:E,"&lt;0"))</f>
        <v>0</v>
      </c>
      <c r="D58" s="856"/>
      <c r="E58" s="854">
        <f>SUMIFS('Liste prévisionnel'!E:E,'Liste prévisionnel'!J:J,A58,'Liste prévisionnel'!G:G,U58,'Liste prévisionnel'!E:E,"&gt;0")</f>
        <v>0</v>
      </c>
      <c r="O58" s="850" t="s">
        <v>417</v>
      </c>
      <c r="P58" s="850"/>
      <c r="Q58" s="850"/>
      <c r="R58" s="850"/>
      <c r="S58" s="850"/>
      <c r="T58" s="850"/>
      <c r="U58" s="850" t="s">
        <v>723</v>
      </c>
      <c r="V58" s="850"/>
    </row>
    <row r="59" spans="1:22" x14ac:dyDescent="0.2">
      <c r="A59" s="867" t="s">
        <v>416</v>
      </c>
      <c r="B59" s="853"/>
      <c r="C59" s="854"/>
      <c r="D59" s="856"/>
      <c r="E59" s="854"/>
      <c r="F59"/>
      <c r="G59"/>
      <c r="O59" s="850"/>
      <c r="P59" s="850"/>
      <c r="Q59" s="850"/>
      <c r="R59" s="850"/>
      <c r="S59" s="850"/>
      <c r="T59" s="850"/>
      <c r="U59" s="850"/>
      <c r="V59" s="850"/>
    </row>
    <row r="60" spans="1:22" x14ac:dyDescent="0.2">
      <c r="B60" s="855"/>
      <c r="C60" s="854"/>
      <c r="D60" s="856"/>
      <c r="E60" s="854"/>
      <c r="F60"/>
      <c r="G60"/>
      <c r="O60" s="850"/>
      <c r="P60" s="850"/>
      <c r="Q60" s="850"/>
      <c r="R60" s="850"/>
      <c r="S60" s="850"/>
      <c r="T60" s="850"/>
      <c r="U60" s="850"/>
      <c r="V60" s="850"/>
    </row>
    <row r="61" spans="1:22" ht="15.75" thickBot="1" x14ac:dyDescent="0.25">
      <c r="B61" s="861" t="s">
        <v>729</v>
      </c>
      <c r="C61" s="860">
        <f>SUM(C58:C59)</f>
        <v>0</v>
      </c>
      <c r="D61" s="862" t="s">
        <v>730</v>
      </c>
      <c r="E61" s="860">
        <f>SUM(E58:E59)</f>
        <v>0</v>
      </c>
      <c r="F61"/>
      <c r="G61"/>
    </row>
    <row r="62" spans="1:22" ht="15.75" thickBot="1" x14ac:dyDescent="0.25">
      <c r="B62" s="852"/>
      <c r="C62" s="851"/>
      <c r="D62" s="851"/>
      <c r="E62" s="851"/>
      <c r="F62"/>
      <c r="G62"/>
    </row>
    <row r="63" spans="1:22" ht="15.75" thickBot="1" x14ac:dyDescent="0.25">
      <c r="B63" s="852"/>
      <c r="C63" s="863" t="s">
        <v>731</v>
      </c>
      <c r="D63" s="864">
        <f>E61-C61</f>
        <v>0</v>
      </c>
      <c r="E63" s="851"/>
      <c r="F63"/>
      <c r="G63"/>
    </row>
    <row r="64" spans="1:22" x14ac:dyDescent="0.2">
      <c r="B64"/>
      <c r="C64"/>
      <c r="D64"/>
      <c r="E64"/>
      <c r="F64"/>
      <c r="G64"/>
    </row>
    <row r="65" spans="1:22" x14ac:dyDescent="0.2">
      <c r="B65"/>
      <c r="C65"/>
      <c r="D65"/>
      <c r="E65"/>
      <c r="F65"/>
      <c r="G65"/>
    </row>
    <row r="66" spans="1:22" x14ac:dyDescent="0.2">
      <c r="A66"/>
      <c r="B66" s="806"/>
      <c r="C66" s="586"/>
      <c r="D66"/>
    </row>
    <row r="67" spans="1:22" x14ac:dyDescent="0.2">
      <c r="A67"/>
      <c r="B67"/>
      <c r="C67"/>
    </row>
    <row r="68" spans="1:22" x14ac:dyDescent="0.2">
      <c r="A68" s="1469" t="s">
        <v>739</v>
      </c>
      <c r="B68" s="1462"/>
      <c r="C68" s="1462"/>
      <c r="D68" s="1462"/>
      <c r="E68" s="1462"/>
      <c r="F68" s="1462"/>
      <c r="G68" s="1462"/>
    </row>
    <row r="69" spans="1:22" x14ac:dyDescent="0.2">
      <c r="A69" s="1462"/>
      <c r="B69" s="1462"/>
      <c r="C69" s="1462"/>
      <c r="D69" s="1462"/>
      <c r="E69" s="1462"/>
      <c r="F69" s="1462"/>
      <c r="G69" s="1462"/>
    </row>
    <row r="70" spans="1:22" x14ac:dyDescent="0.2">
      <c r="A70" s="1462"/>
      <c r="B70" s="1462"/>
      <c r="C70" s="1462"/>
      <c r="D70" s="1462"/>
      <c r="E70" s="1462"/>
      <c r="F70" s="1462"/>
      <c r="G70" s="1462"/>
    </row>
    <row r="72" spans="1:22" ht="24.75" x14ac:dyDescent="0.2">
      <c r="B72" s="1468" t="s">
        <v>18</v>
      </c>
      <c r="C72" s="1468"/>
      <c r="D72" s="1468"/>
    </row>
    <row r="74" spans="1:22" x14ac:dyDescent="0.2">
      <c r="A74" s="1462" t="s">
        <v>740</v>
      </c>
      <c r="B74" s="1462"/>
      <c r="C74" s="1462"/>
      <c r="D74" s="1462"/>
      <c r="E74" s="1462"/>
      <c r="F74" s="1462"/>
      <c r="G74" s="1462"/>
    </row>
    <row r="76" spans="1:22" x14ac:dyDescent="0.2">
      <c r="A76" s="813" t="s">
        <v>728</v>
      </c>
    </row>
    <row r="77" spans="1:22" ht="15.75" thickBot="1" x14ac:dyDescent="0.25">
      <c r="A77"/>
      <c r="B77"/>
    </row>
    <row r="78" spans="1:22" x14ac:dyDescent="0.2">
      <c r="B78" s="1470" t="s">
        <v>356</v>
      </c>
      <c r="C78" s="1471"/>
      <c r="D78" s="1470" t="s">
        <v>355</v>
      </c>
      <c r="E78" s="1471"/>
    </row>
    <row r="79" spans="1:22" x14ac:dyDescent="0.2">
      <c r="B79" s="859"/>
      <c r="C79" s="858"/>
      <c r="D79" s="857"/>
      <c r="E79" s="858"/>
    </row>
    <row r="80" spans="1:22" x14ac:dyDescent="0.2">
      <c r="A80" s="867" t="s">
        <v>18</v>
      </c>
      <c r="B80" s="853" t="s">
        <v>364</v>
      </c>
      <c r="C80" s="854">
        <f>-(SUMIFS('Liste prévisionnel'!E:E,'Liste prévisionnel'!J:J,A80,'Liste prévisionnel'!G:G,O80,'Liste prévisionnel'!E:E,"&lt;0"))</f>
        <v>200</v>
      </c>
      <c r="D80" s="855" t="s">
        <v>176</v>
      </c>
      <c r="E80" s="854">
        <f>SUMIFS('Liste prévisionnel'!E:E,'Liste prévisionnel'!J:J,A80,'Liste prévisionnel'!G:G,U80,'Liste prévisionnel'!E:E,"&gt;0")</f>
        <v>0</v>
      </c>
      <c r="F80" s="1118" t="s">
        <v>741</v>
      </c>
      <c r="O80" s="850" t="s">
        <v>364</v>
      </c>
      <c r="P80" s="850"/>
      <c r="Q80" s="850"/>
      <c r="R80" s="850"/>
      <c r="S80" s="850"/>
      <c r="T80" s="850"/>
      <c r="U80" s="850" t="s">
        <v>176</v>
      </c>
      <c r="V80" s="850"/>
    </row>
    <row r="81" spans="1:22" x14ac:dyDescent="0.2">
      <c r="A81" s="867" t="s">
        <v>18</v>
      </c>
      <c r="B81" s="853" t="s">
        <v>219</v>
      </c>
      <c r="C81" s="854">
        <f>-(SUMIFS('Liste prévisionnel'!E:E,'Liste prévisionnel'!J:J,A81,'Liste prévisionnel'!G:G,O81,'Liste prévisionnel'!E:E,"&lt;0"))</f>
        <v>300</v>
      </c>
      <c r="D81" s="856" t="s">
        <v>742</v>
      </c>
      <c r="E81" s="854">
        <f>SUMIFS('Liste prévisionnel'!E:E,'Liste prévisionnel'!J:J,A81,'Liste prévisionnel'!G:G,U81,'Liste prévisionnel'!E:E,"&gt;0")</f>
        <v>0</v>
      </c>
      <c r="F81"/>
      <c r="G81"/>
      <c r="O81" s="850" t="s">
        <v>393</v>
      </c>
      <c r="P81" s="850"/>
      <c r="Q81" s="850"/>
      <c r="R81" s="850"/>
      <c r="S81" s="850"/>
      <c r="T81" s="850"/>
      <c r="U81" s="850" t="s">
        <v>742</v>
      </c>
      <c r="V81" s="850"/>
    </row>
    <row r="82" spans="1:22" x14ac:dyDescent="0.2">
      <c r="B82" s="855" t="s">
        <v>176</v>
      </c>
      <c r="C82" s="854"/>
      <c r="D82" s="856"/>
      <c r="E82" s="854"/>
      <c r="F82"/>
      <c r="G82"/>
      <c r="O82" s="850"/>
      <c r="P82" s="850"/>
      <c r="Q82" s="850"/>
      <c r="R82" s="850"/>
      <c r="S82" s="850"/>
      <c r="T82" s="850"/>
      <c r="U82" s="850"/>
      <c r="V82" s="850"/>
    </row>
    <row r="83" spans="1:22" ht="15.75" thickBot="1" x14ac:dyDescent="0.25">
      <c r="B83" s="861" t="s">
        <v>729</v>
      </c>
      <c r="C83" s="860">
        <f>SUM(C80:C81)</f>
        <v>500</v>
      </c>
      <c r="D83" s="862" t="s">
        <v>730</v>
      </c>
      <c r="E83" s="860">
        <f>SUM(E80:E81)</f>
        <v>0</v>
      </c>
      <c r="F83"/>
      <c r="G83"/>
    </row>
    <row r="84" spans="1:22" ht="15.75" thickBot="1" x14ac:dyDescent="0.25">
      <c r="B84" s="852"/>
      <c r="C84" s="851"/>
      <c r="D84" s="851"/>
      <c r="E84" s="851"/>
      <c r="F84"/>
      <c r="G84"/>
    </row>
    <row r="85" spans="1:22" ht="15.75" thickBot="1" x14ac:dyDescent="0.25">
      <c r="B85" s="852"/>
      <c r="C85" s="863" t="s">
        <v>731</v>
      </c>
      <c r="D85" s="864">
        <f>E83-C83</f>
        <v>-500</v>
      </c>
      <c r="E85" s="851"/>
      <c r="F85"/>
      <c r="G85"/>
    </row>
    <row r="86" spans="1:22" x14ac:dyDescent="0.2">
      <c r="B86" s="806"/>
      <c r="D86"/>
      <c r="E86" s="586"/>
      <c r="F86"/>
      <c r="G86"/>
    </row>
    <row r="87" spans="1:22" x14ac:dyDescent="0.2">
      <c r="B87"/>
      <c r="C87"/>
      <c r="D87"/>
      <c r="E87"/>
      <c r="F87"/>
      <c r="G87"/>
    </row>
    <row r="88" spans="1:22" x14ac:dyDescent="0.2">
      <c r="A88" s="1469" t="s">
        <v>743</v>
      </c>
      <c r="B88" s="1462"/>
      <c r="C88" s="1462"/>
      <c r="D88" s="1462"/>
      <c r="E88" s="1462"/>
      <c r="F88" s="1462"/>
      <c r="G88" s="1462"/>
    </row>
    <row r="89" spans="1:22" x14ac:dyDescent="0.2">
      <c r="A89" s="1462"/>
      <c r="B89" s="1462"/>
      <c r="C89" s="1462"/>
      <c r="D89" s="1462"/>
      <c r="E89" s="1462"/>
      <c r="F89" s="1462"/>
      <c r="G89" s="1462"/>
    </row>
    <row r="90" spans="1:22" x14ac:dyDescent="0.2">
      <c r="A90" s="1462"/>
      <c r="B90" s="1462"/>
      <c r="C90" s="1462"/>
      <c r="D90" s="1462"/>
      <c r="E90" s="1462"/>
      <c r="F90" s="1462"/>
      <c r="G90" s="1462"/>
    </row>
    <row r="95" spans="1:22" ht="19.5" x14ac:dyDescent="0.2">
      <c r="A95" s="1463" t="s">
        <v>744</v>
      </c>
      <c r="B95" s="1463"/>
      <c r="C95" s="1463"/>
      <c r="D95" s="1463"/>
      <c r="E95" s="1463"/>
      <c r="F95" s="1463"/>
      <c r="G95" s="1463"/>
      <c r="I95" s="849"/>
      <c r="J95" s="849"/>
    </row>
    <row r="97" spans="1:15" ht="15.75" x14ac:dyDescent="0.2">
      <c r="A97" s="816" t="s">
        <v>745</v>
      </c>
    </row>
    <row r="99" spans="1:15" ht="24.75" x14ac:dyDescent="0.2">
      <c r="B99" s="1468" t="s">
        <v>746</v>
      </c>
      <c r="C99" s="1468"/>
      <c r="D99" s="1468"/>
      <c r="E99" s="1468"/>
    </row>
    <row r="101" spans="1:15" ht="28.5" customHeight="1" x14ac:dyDescent="0.2">
      <c r="A101" s="1469" t="s">
        <v>747</v>
      </c>
      <c r="B101" s="1462"/>
      <c r="C101" s="1462"/>
      <c r="D101" s="1462"/>
      <c r="E101" s="1462"/>
      <c r="F101" s="1462"/>
      <c r="G101" s="1462"/>
    </row>
    <row r="103" spans="1:15" x14ac:dyDescent="0.2">
      <c r="A103" s="813" t="s">
        <v>728</v>
      </c>
    </row>
    <row r="104" spans="1:15" hidden="1" x14ac:dyDescent="0.2">
      <c r="A104"/>
      <c r="B104"/>
      <c r="C104"/>
      <c r="D104"/>
    </row>
    <row r="105" spans="1:15" hidden="1" x14ac:dyDescent="0.2"/>
    <row r="106" spans="1:15" ht="15.75" thickBot="1" x14ac:dyDescent="0.25">
      <c r="A106"/>
      <c r="B106"/>
    </row>
    <row r="107" spans="1:15" x14ac:dyDescent="0.2">
      <c r="B107" s="1470" t="s">
        <v>356</v>
      </c>
      <c r="C107" s="1471"/>
      <c r="D107" s="1470" t="s">
        <v>355</v>
      </c>
      <c r="E107" s="1471"/>
    </row>
    <row r="108" spans="1:15" x14ac:dyDescent="0.2">
      <c r="B108" s="859"/>
      <c r="C108" s="858"/>
      <c r="D108" s="857"/>
      <c r="E108" s="858"/>
    </row>
    <row r="109" spans="1:15" x14ac:dyDescent="0.2">
      <c r="A109" s="867" t="s">
        <v>748</v>
      </c>
      <c r="B109" s="853" t="s">
        <v>400</v>
      </c>
      <c r="C109" s="854">
        <f>-(SUMIFS('Liste prévisionnel'!E:E,'Liste prévisionnel'!K:K,A109,'Liste prévisionnel'!G:G,O109,'Liste prévisionnel'!E:E,"&lt;0"))</f>
        <v>0</v>
      </c>
      <c r="D109" s="856"/>
      <c r="E109" s="854">
        <f>SUMIFS('Liste prévisionnel'!E:E,'Liste prévisionnel'!J:J,A109,'Liste prévisionnel'!G:G,U109,'Liste prévisionnel'!E:E,"&gt;0")</f>
        <v>0</v>
      </c>
      <c r="O109" s="813" t="s">
        <v>400</v>
      </c>
    </row>
    <row r="110" spans="1:15" x14ac:dyDescent="0.2">
      <c r="A110" s="867" t="s">
        <v>749</v>
      </c>
      <c r="B110" s="853" t="s">
        <v>750</v>
      </c>
      <c r="C110" s="854">
        <f>-(SUMIFS('Liste prévisionnel'!E:E,'Liste prévisionnel'!K:K,A110,'Liste prévisionnel'!G:G,O110,'Liste prévisionnel'!E:E,"&lt;0"))</f>
        <v>0</v>
      </c>
      <c r="D110" s="856"/>
      <c r="E110" s="854"/>
      <c r="F110"/>
      <c r="G110"/>
      <c r="O110" s="813" t="s">
        <v>393</v>
      </c>
    </row>
    <row r="111" spans="1:15" x14ac:dyDescent="0.2">
      <c r="A111" s="884" t="s">
        <v>751</v>
      </c>
      <c r="B111" s="855" t="s">
        <v>752</v>
      </c>
      <c r="C111" s="854">
        <f>-(SUMIFS('Liste prévisionnel'!E:E,'Liste prévisionnel'!K:K,A111,'Liste prévisionnel'!G:G,O111,'Liste prévisionnel'!E:E,"&lt;0"))</f>
        <v>0</v>
      </c>
      <c r="D111" s="856"/>
      <c r="E111" s="854"/>
      <c r="F111"/>
      <c r="G111"/>
    </row>
    <row r="112" spans="1:15" x14ac:dyDescent="0.2">
      <c r="A112" s="867"/>
      <c r="B112" s="855"/>
      <c r="C112" s="854"/>
      <c r="D112" s="856"/>
      <c r="E112" s="854"/>
      <c r="F112"/>
      <c r="G112"/>
    </row>
    <row r="113" spans="1:21" ht="15.75" thickBot="1" x14ac:dyDescent="0.25">
      <c r="B113" s="861" t="s">
        <v>729</v>
      </c>
      <c r="C113" s="860">
        <f>SUM(C109:C111)</f>
        <v>0</v>
      </c>
      <c r="D113" s="862" t="s">
        <v>730</v>
      </c>
      <c r="E113" s="860">
        <f>SUM(E109:E110)</f>
        <v>0</v>
      </c>
      <c r="F113"/>
      <c r="G113"/>
    </row>
    <row r="114" spans="1:21" ht="15.75" thickBot="1" x14ac:dyDescent="0.25">
      <c r="B114" s="852"/>
      <c r="C114" s="851"/>
      <c r="D114" s="851"/>
      <c r="E114" s="851"/>
      <c r="F114"/>
      <c r="G114"/>
    </row>
    <row r="115" spans="1:21" ht="15.75" thickBot="1" x14ac:dyDescent="0.25">
      <c r="B115" s="852"/>
      <c r="C115" s="863" t="s">
        <v>731</v>
      </c>
      <c r="D115" s="864">
        <f>E113-C113</f>
        <v>0</v>
      </c>
      <c r="E115" s="851"/>
      <c r="F115"/>
      <c r="G115"/>
    </row>
    <row r="116" spans="1:21" x14ac:dyDescent="0.2">
      <c r="A116"/>
      <c r="B116" s="806"/>
      <c r="C116" s="586"/>
      <c r="D116"/>
    </row>
    <row r="117" spans="1:21" ht="24.75" x14ac:dyDescent="0.2">
      <c r="A117"/>
      <c r="B117" s="1468" t="s">
        <v>753</v>
      </c>
      <c r="C117" s="1468"/>
      <c r="D117" s="1468"/>
      <c r="E117" s="1468"/>
    </row>
    <row r="118" spans="1:21" ht="15" customHeight="1" thickBot="1" x14ac:dyDescent="0.25">
      <c r="A118" s="813" t="s">
        <v>728</v>
      </c>
    </row>
    <row r="119" spans="1:21" x14ac:dyDescent="0.2">
      <c r="A119"/>
      <c r="B119" s="1470" t="s">
        <v>356</v>
      </c>
      <c r="C119" s="1471"/>
      <c r="D119" s="1470" t="s">
        <v>355</v>
      </c>
      <c r="E119" s="1471"/>
    </row>
    <row r="120" spans="1:21" x14ac:dyDescent="0.2">
      <c r="B120" s="859"/>
      <c r="C120" s="858"/>
      <c r="D120" s="857"/>
      <c r="E120" s="858"/>
    </row>
    <row r="121" spans="1:21" x14ac:dyDescent="0.2">
      <c r="A121" s="867" t="s">
        <v>722</v>
      </c>
      <c r="B121" s="853" t="s">
        <v>754</v>
      </c>
      <c r="C121" s="854">
        <f>-(SUMIFS('Liste prévisionnel'!E:E,'Liste prévisionnel'!J:J,A121,'Liste prévisionnel'!G:G,O121,'Liste prévisionnel'!E:E,"&lt;0"))</f>
        <v>0</v>
      </c>
      <c r="D121" s="853" t="s">
        <v>754</v>
      </c>
      <c r="E121" s="854">
        <f>SUMIFS('Liste prévisionnel'!E:E,'Liste prévisionnel'!J:J,A121,'Liste prévisionnel'!G:G,U121,'Liste prévisionnel'!E:E,"&gt;0")</f>
        <v>0</v>
      </c>
      <c r="F121" s="1119">
        <f>C121-E121</f>
        <v>0</v>
      </c>
      <c r="O121" s="813" t="s">
        <v>754</v>
      </c>
      <c r="U121" s="813" t="s">
        <v>754</v>
      </c>
    </row>
    <row r="122" spans="1:21" x14ac:dyDescent="0.2">
      <c r="A122" s="867" t="s">
        <v>722</v>
      </c>
      <c r="B122" s="853" t="s">
        <v>755</v>
      </c>
      <c r="C122" s="854">
        <f>-(SUMIFS('Liste prévisionnel'!E:E,'Liste prévisionnel'!J:J,A122,'Liste prévisionnel'!G:G,O122,'Liste prévisionnel'!E:E,"&lt;0"))</f>
        <v>0</v>
      </c>
      <c r="D122" s="853" t="s">
        <v>755</v>
      </c>
      <c r="E122" s="854">
        <f>SUMIFS('Liste prévisionnel'!E:E,'Liste prévisionnel'!J:J,A122,'Liste prévisionnel'!G:G,U122,'Liste prévisionnel'!E:E,"&gt;0")</f>
        <v>0</v>
      </c>
      <c r="F122" s="1119">
        <f>C122-E122</f>
        <v>0</v>
      </c>
      <c r="O122" s="813" t="s">
        <v>755</v>
      </c>
      <c r="U122" s="813" t="s">
        <v>755</v>
      </c>
    </row>
    <row r="123" spans="1:21" x14ac:dyDescent="0.2">
      <c r="A123" s="867" t="s">
        <v>722</v>
      </c>
      <c r="B123" s="855" t="s">
        <v>756</v>
      </c>
      <c r="C123" s="854">
        <f>-(SUMIFS('Liste prévisionnel'!E:E,'Liste prévisionnel'!J:J,A123,'Liste prévisionnel'!G:G,O123,'Liste prévisionnel'!E:E,"&lt;0"))</f>
        <v>0</v>
      </c>
      <c r="D123" s="855" t="s">
        <v>756</v>
      </c>
      <c r="E123" s="854">
        <f>SUMIFS('Liste prévisionnel'!E:E,'Liste prévisionnel'!J:J,A123,'Liste prévisionnel'!G:G,U123,'Liste prévisionnel'!E:E,"&gt;0")</f>
        <v>0</v>
      </c>
      <c r="F123" s="1119">
        <f>C123-E123</f>
        <v>0</v>
      </c>
      <c r="G123" s="1117" t="s">
        <v>757</v>
      </c>
      <c r="O123" s="813" t="s">
        <v>756</v>
      </c>
      <c r="U123" s="813" t="s">
        <v>756</v>
      </c>
    </row>
    <row r="124" spans="1:21" x14ac:dyDescent="0.2">
      <c r="A124" s="867" t="s">
        <v>722</v>
      </c>
      <c r="B124" s="855" t="s">
        <v>758</v>
      </c>
      <c r="C124" s="854">
        <f>-(SUMIFS('Liste prévisionnel'!E:E,'Liste prévisionnel'!J:J,A124,'Liste prévisionnel'!G:G,O124,'Liste prévisionnel'!E:E,"&lt;0"))</f>
        <v>0</v>
      </c>
      <c r="D124" s="855" t="s">
        <v>758</v>
      </c>
      <c r="E124" s="854">
        <f>SUMIFS('Liste prévisionnel'!E:E,'Liste prévisionnel'!J:J,A124,'Liste prévisionnel'!G:G,U124,'Liste prévisionnel'!E:E,"&gt;0")</f>
        <v>0</v>
      </c>
      <c r="F124" s="1119">
        <f>C124-E124</f>
        <v>0</v>
      </c>
      <c r="G124"/>
      <c r="O124" s="813" t="s">
        <v>758</v>
      </c>
      <c r="U124" s="813" t="s">
        <v>758</v>
      </c>
    </row>
    <row r="125" spans="1:21" x14ac:dyDescent="0.2">
      <c r="A125" s="867" t="s">
        <v>722</v>
      </c>
      <c r="B125" s="855" t="s">
        <v>759</v>
      </c>
      <c r="C125" s="854">
        <f>-(SUMIFS('Liste prévisionnel'!E:E,'Liste prévisionnel'!J:J,A125,'Liste prévisionnel'!G:G,O125,'Liste prévisionnel'!E:E,"&lt;0"))</f>
        <v>0</v>
      </c>
      <c r="D125" s="855" t="s">
        <v>759</v>
      </c>
      <c r="E125" s="854">
        <f>SUMIFS('Liste prévisionnel'!E:E,'Liste prévisionnel'!J:J,A125,'Liste prévisionnel'!G:G,U125,'Liste prévisionnel'!E:E,"&gt;0")</f>
        <v>0</v>
      </c>
      <c r="F125" s="1119">
        <f>C125-E125</f>
        <v>0</v>
      </c>
      <c r="G125" s="1117" t="s">
        <v>757</v>
      </c>
      <c r="O125" s="813" t="s">
        <v>759</v>
      </c>
      <c r="U125" s="813" t="s">
        <v>759</v>
      </c>
    </row>
    <row r="126" spans="1:21" x14ac:dyDescent="0.2">
      <c r="B126" s="855"/>
      <c r="C126" s="854"/>
      <c r="D126" s="856"/>
      <c r="E126" s="854"/>
      <c r="F126"/>
      <c r="G126"/>
    </row>
    <row r="127" spans="1:21" ht="15.75" thickBot="1" x14ac:dyDescent="0.25">
      <c r="B127" s="861" t="s">
        <v>729</v>
      </c>
      <c r="C127" s="860">
        <f>SUM(C121:C125)</f>
        <v>0</v>
      </c>
      <c r="D127" s="862" t="s">
        <v>730</v>
      </c>
      <c r="E127" s="860">
        <f>SUM(E121:E125)</f>
        <v>0</v>
      </c>
      <c r="F127"/>
      <c r="G127"/>
    </row>
    <row r="128" spans="1:21" ht="15.75" thickBot="1" x14ac:dyDescent="0.25">
      <c r="B128"/>
      <c r="C128"/>
      <c r="D128"/>
      <c r="E128"/>
      <c r="F128"/>
      <c r="G128"/>
    </row>
    <row r="129" spans="1:10" x14ac:dyDescent="0.2">
      <c r="B129"/>
      <c r="C129" s="863" t="s">
        <v>731</v>
      </c>
      <c r="D129" s="864">
        <f>E127-C127</f>
        <v>0</v>
      </c>
      <c r="E129"/>
      <c r="F129"/>
      <c r="G129" s="1117"/>
    </row>
    <row r="131" spans="1:10" ht="15" customHeight="1" x14ac:dyDescent="0.2">
      <c r="A131" s="1469" t="s">
        <v>760</v>
      </c>
      <c r="B131" s="1462"/>
      <c r="C131" s="1462"/>
      <c r="D131" s="1462"/>
      <c r="E131" s="1462"/>
      <c r="F131" s="1462"/>
      <c r="G131" s="1462"/>
    </row>
    <row r="132" spans="1:10" x14ac:dyDescent="0.2">
      <c r="A132" s="1462"/>
      <c r="B132" s="1462"/>
      <c r="C132" s="1462"/>
      <c r="D132" s="1462"/>
      <c r="E132" s="1462"/>
      <c r="F132" s="1462"/>
      <c r="G132" s="1462"/>
    </row>
    <row r="133" spans="1:10" x14ac:dyDescent="0.2">
      <c r="A133" s="1462"/>
      <c r="B133" s="1462"/>
      <c r="C133" s="1462"/>
      <c r="D133" s="1462"/>
      <c r="E133" s="1462"/>
      <c r="F133" s="1462"/>
      <c r="G133" s="1462"/>
    </row>
    <row r="134" spans="1:10" x14ac:dyDescent="0.2">
      <c r="A134" s="1462"/>
      <c r="B134" s="1462"/>
      <c r="C134" s="1462"/>
      <c r="D134" s="1462"/>
      <c r="E134" s="1462"/>
      <c r="F134" s="1462"/>
      <c r="G134" s="1462"/>
    </row>
    <row r="135" spans="1:10" x14ac:dyDescent="0.2">
      <c r="A135" s="1462"/>
      <c r="B135" s="1462"/>
      <c r="C135" s="1462"/>
      <c r="D135" s="1462"/>
      <c r="E135" s="1462"/>
      <c r="F135" s="1462"/>
      <c r="G135" s="1462"/>
    </row>
    <row r="136" spans="1:10" x14ac:dyDescent="0.2">
      <c r="A136" s="1462"/>
      <c r="B136" s="1462"/>
      <c r="C136" s="1462"/>
      <c r="D136" s="1462"/>
      <c r="E136" s="1462"/>
      <c r="F136" s="1462"/>
      <c r="G136" s="1462"/>
    </row>
    <row r="137" spans="1:10" x14ac:dyDescent="0.2">
      <c r="A137" s="1462"/>
      <c r="B137" s="1462"/>
      <c r="C137" s="1462"/>
      <c r="D137" s="1462"/>
      <c r="E137" s="1462"/>
      <c r="F137" s="1462"/>
      <c r="G137" s="1462"/>
    </row>
    <row r="142" spans="1:10" ht="57" customHeight="1" x14ac:dyDescent="0.2"/>
    <row r="143" spans="1:10" ht="19.5" x14ac:dyDescent="0.2">
      <c r="A143" s="1472" t="s">
        <v>761</v>
      </c>
      <c r="B143" s="1472"/>
      <c r="C143" s="1472"/>
      <c r="D143" s="1472"/>
      <c r="E143" s="1472"/>
      <c r="F143" s="1472"/>
      <c r="G143" s="1472"/>
      <c r="H143" s="820"/>
      <c r="I143" s="848"/>
      <c r="J143" s="848"/>
    </row>
    <row r="145" spans="1:28" ht="15.75" x14ac:dyDescent="0.2">
      <c r="A145" s="816" t="s">
        <v>762</v>
      </c>
    </row>
    <row r="147" spans="1:28" ht="24.75" x14ac:dyDescent="0.2">
      <c r="B147" s="1468" t="s">
        <v>401</v>
      </c>
      <c r="C147" s="1468"/>
      <c r="D147" s="1468"/>
    </row>
    <row r="149" spans="1:28" ht="74.25" customHeight="1" x14ac:dyDescent="0.2">
      <c r="A149" s="1462" t="s">
        <v>763</v>
      </c>
      <c r="B149" s="1462"/>
      <c r="C149" s="1462"/>
      <c r="D149" s="1462"/>
      <c r="E149" s="1462"/>
      <c r="F149" s="1462"/>
      <c r="G149" s="1462"/>
    </row>
    <row r="151" spans="1:28" x14ac:dyDescent="0.2">
      <c r="A151" s="813" t="s">
        <v>728</v>
      </c>
    </row>
    <row r="152" spans="1:28" ht="15.75" thickBot="1" x14ac:dyDescent="0.25">
      <c r="B152"/>
      <c r="C152"/>
      <c r="X152"/>
      <c r="Y152"/>
    </row>
    <row r="153" spans="1:28" x14ac:dyDescent="0.2">
      <c r="A153"/>
      <c r="B153" s="1470" t="s">
        <v>356</v>
      </c>
      <c r="C153" s="1471"/>
      <c r="D153" s="1470" t="s">
        <v>720</v>
      </c>
      <c r="E153" s="1471"/>
      <c r="X153"/>
      <c r="Y153"/>
    </row>
    <row r="154" spans="1:28" x14ac:dyDescent="0.2">
      <c r="A154" s="867" t="s">
        <v>401</v>
      </c>
      <c r="B154" s="859" t="s">
        <v>764</v>
      </c>
      <c r="C154" s="858"/>
      <c r="D154" s="857"/>
      <c r="E154" s="858"/>
    </row>
    <row r="155" spans="1:28" x14ac:dyDescent="0.2">
      <c r="A155" s="867" t="s">
        <v>401</v>
      </c>
      <c r="B155" s="853" t="s">
        <v>215</v>
      </c>
      <c r="C155" s="854">
        <f>-(SUMIFS('Liste prévisionnel'!E:E,'Liste prévisionnel'!J:J,A155,'Liste prévisionnel'!G:G,P155)+SUMIFS('Liste prévisionnel'!E:E,'Liste prévisionnel'!J:J,A155,'Liste prévisionnel'!G:G,O155))</f>
        <v>0</v>
      </c>
      <c r="D155" s="856" t="s">
        <v>765</v>
      </c>
      <c r="E155" s="854">
        <f>SUMIFS('Liste prévisionnel'!E:E,'Liste prévisionnel'!J:J,A155,'Liste prévisionnel'!G:G,U155)-E156</f>
        <v>0</v>
      </c>
      <c r="O155" s="850" t="s">
        <v>364</v>
      </c>
      <c r="P155" s="850"/>
      <c r="Q155" s="850"/>
      <c r="R155" s="850"/>
      <c r="S155" s="850"/>
      <c r="T155" s="850"/>
      <c r="U155" s="850" t="s">
        <v>405</v>
      </c>
      <c r="X155"/>
      <c r="Y155"/>
      <c r="Z155"/>
      <c r="AA155" s="847"/>
      <c r="AB155"/>
    </row>
    <row r="156" spans="1:28" x14ac:dyDescent="0.2">
      <c r="A156" s="867" t="s">
        <v>401</v>
      </c>
      <c r="B156" s="853" t="s">
        <v>365</v>
      </c>
      <c r="C156" s="854">
        <f>-(SUMIFS('Liste prévisionnel'!E:E,'Liste prévisionnel'!J:J,A156,'Liste prévisionnel'!G:G,P156)+SUMIFS('Liste prévisionnel'!E:E,'Liste prévisionnel'!J:J,A156,'Liste prévisionnel'!G:G,O156))</f>
        <v>0</v>
      </c>
      <c r="D156" s="856" t="s">
        <v>766</v>
      </c>
      <c r="E156" s="854">
        <f>C165</f>
        <v>0</v>
      </c>
      <c r="F156"/>
      <c r="G156"/>
      <c r="O156" s="850" t="s">
        <v>404</v>
      </c>
      <c r="P156" s="850"/>
      <c r="Q156" s="850"/>
      <c r="R156" s="850"/>
      <c r="S156" s="850"/>
      <c r="T156" s="850"/>
      <c r="U156" s="850"/>
      <c r="X156" s="806"/>
      <c r="Y156" s="845"/>
      <c r="Z156" s="845"/>
      <c r="AA156" s="845"/>
      <c r="AB156"/>
    </row>
    <row r="157" spans="1:28" x14ac:dyDescent="0.2">
      <c r="A157" s="867" t="s">
        <v>401</v>
      </c>
      <c r="B157" s="855" t="s">
        <v>221</v>
      </c>
      <c r="C157" s="854">
        <f>-(SUMIFS('Liste prévisionnel'!E:E,'Liste prévisionnel'!J:J,A157,'Liste prévisionnel'!G:G,P157)+SUMIFS('Liste prévisionnel'!E:E,'Liste prévisionnel'!J:J,A157,'Liste prévisionnel'!G:G,O157))</f>
        <v>0</v>
      </c>
      <c r="D157" s="856" t="s">
        <v>406</v>
      </c>
      <c r="E157" s="854">
        <f>SUMIFS('Liste prévisionnel'!E:E,'Liste prévisionnel'!J:J,A157,'Liste prévisionnel'!G:G,U157,'Liste prévisionnel'!E:E,"&gt;0")</f>
        <v>0</v>
      </c>
      <c r="F157"/>
      <c r="G157"/>
      <c r="O157" s="850" t="s">
        <v>221</v>
      </c>
      <c r="P157" s="850"/>
      <c r="Q157" s="850"/>
      <c r="R157" s="850"/>
      <c r="S157" s="850"/>
      <c r="T157" s="850"/>
      <c r="U157" s="850" t="s">
        <v>406</v>
      </c>
      <c r="X157" s="806"/>
      <c r="Y157" s="845"/>
      <c r="Z157" s="845"/>
      <c r="AA157" s="845"/>
      <c r="AB157"/>
    </row>
    <row r="158" spans="1:28" x14ac:dyDescent="0.2">
      <c r="A158" s="867" t="s">
        <v>401</v>
      </c>
      <c r="B158" s="855" t="s">
        <v>394</v>
      </c>
      <c r="C158" s="854">
        <f>-(SUMIFS('Liste prévisionnel'!E:E,'Liste prévisionnel'!J:J,A158,'Liste prévisionnel'!G:G,P158)+SUMIFS('Liste prévisionnel'!E:E,'Liste prévisionnel'!J:J,A158,'Liste prévisionnel'!G:G,O158))</f>
        <v>0</v>
      </c>
      <c r="D158" s="856"/>
      <c r="E158" s="854"/>
      <c r="F158"/>
      <c r="G158"/>
      <c r="O158" s="850" t="s">
        <v>403</v>
      </c>
      <c r="P158" s="850"/>
      <c r="Q158" s="850"/>
      <c r="R158" s="850"/>
      <c r="S158" s="850"/>
      <c r="T158" s="850"/>
      <c r="U158" s="850"/>
      <c r="X158" s="806"/>
      <c r="Y158" s="845"/>
      <c r="Z158" s="845"/>
      <c r="AA158" s="845"/>
      <c r="AB158"/>
    </row>
    <row r="159" spans="1:28" x14ac:dyDescent="0.2">
      <c r="A159" s="867" t="s">
        <v>401</v>
      </c>
      <c r="B159" s="855" t="s">
        <v>767</v>
      </c>
      <c r="C159" s="854">
        <f>-(SUMIFS('Liste prévisionnel'!E:E,'Liste prévisionnel'!J:J,A159,'Liste prévisionnel'!G:G,P159)+SUMIFS('Liste prévisionnel'!E:E,'Liste prévisionnel'!J:J,A159,'Liste prévisionnel'!G:G,O159))</f>
        <v>0</v>
      </c>
      <c r="D159" s="856"/>
      <c r="E159" s="854"/>
      <c r="F159"/>
      <c r="G159"/>
      <c r="O159" s="850" t="s">
        <v>173</v>
      </c>
      <c r="P159" s="850" t="s">
        <v>216</v>
      </c>
      <c r="Q159" s="850"/>
      <c r="R159" s="850"/>
      <c r="S159" s="850"/>
      <c r="T159" s="850"/>
      <c r="U159" s="850"/>
      <c r="X159" s="806"/>
      <c r="Y159" s="845"/>
      <c r="Z159" s="845"/>
      <c r="AA159" s="845"/>
      <c r="AB159"/>
    </row>
    <row r="160" spans="1:28" x14ac:dyDescent="0.2">
      <c r="A160" s="867" t="s">
        <v>401</v>
      </c>
      <c r="B160" s="855" t="s">
        <v>125</v>
      </c>
      <c r="C160" s="854"/>
      <c r="D160" s="856"/>
      <c r="E160" s="854"/>
      <c r="F160"/>
      <c r="G160"/>
      <c r="O160" s="850"/>
      <c r="P160" s="850"/>
      <c r="Q160" s="850"/>
      <c r="R160" s="850"/>
      <c r="S160" s="850"/>
      <c r="T160" s="850"/>
      <c r="U160" s="850"/>
      <c r="X160" s="806"/>
      <c r="Y160" s="845"/>
      <c r="Z160" s="845"/>
      <c r="AA160" s="845"/>
      <c r="AB160"/>
    </row>
    <row r="161" spans="1:28" x14ac:dyDescent="0.2">
      <c r="A161" s="867" t="s">
        <v>401</v>
      </c>
      <c r="B161" s="859" t="s">
        <v>768</v>
      </c>
      <c r="C161" s="854"/>
      <c r="D161" s="856"/>
      <c r="E161" s="854"/>
      <c r="F161"/>
      <c r="G161"/>
      <c r="O161" s="850"/>
      <c r="P161" s="850"/>
      <c r="Q161" s="850"/>
      <c r="R161" s="850"/>
      <c r="S161" s="850"/>
      <c r="T161" s="850"/>
      <c r="U161" s="850"/>
      <c r="X161" s="806"/>
      <c r="Y161" s="845"/>
      <c r="Z161" s="845"/>
      <c r="AA161" s="845"/>
      <c r="AB161"/>
    </row>
    <row r="162" spans="1:28" x14ac:dyDescent="0.2">
      <c r="A162" s="867" t="s">
        <v>401</v>
      </c>
      <c r="B162" s="855" t="s">
        <v>384</v>
      </c>
      <c r="C162" s="854">
        <f>-(SUMIFS('Liste prévisionnel'!E:E,'Liste prévisionnel'!J:J,A162,'Liste prévisionnel'!G:G,P162)+SUMIFS('Liste prévisionnel'!E:E,'Liste prévisionnel'!J:J,A162,'Liste prévisionnel'!G:G,O162))</f>
        <v>0</v>
      </c>
      <c r="D162" s="856"/>
      <c r="E162" s="854"/>
      <c r="F162"/>
      <c r="G162"/>
      <c r="O162" s="850" t="s">
        <v>384</v>
      </c>
      <c r="P162" s="850"/>
      <c r="Q162" s="850"/>
      <c r="R162" s="850"/>
      <c r="S162" s="850"/>
      <c r="T162" s="850"/>
      <c r="U162" s="850"/>
      <c r="X162" s="806"/>
      <c r="Y162" s="845"/>
      <c r="Z162" s="845"/>
      <c r="AA162" s="845"/>
      <c r="AB162"/>
    </row>
    <row r="163" spans="1:28" x14ac:dyDescent="0.2">
      <c r="A163" s="867" t="s">
        <v>401</v>
      </c>
      <c r="B163" s="855" t="s">
        <v>494</v>
      </c>
      <c r="C163" s="854">
        <f>-(SUMIFS('Liste prévisionnel'!E:E,'Liste prévisionnel'!J:J,A163,'Liste prévisionnel'!G:G,P163)+SUMIFS('Liste prévisionnel'!E:E,'Liste prévisionnel'!J:J,A163,'Liste prévisionnel'!G:G,O163))</f>
        <v>0</v>
      </c>
      <c r="D163" s="856"/>
      <c r="E163" s="854"/>
      <c r="F163"/>
      <c r="G163"/>
      <c r="O163" s="850" t="s">
        <v>407</v>
      </c>
      <c r="P163" s="850"/>
      <c r="Q163" s="850"/>
      <c r="R163" s="850"/>
      <c r="S163" s="850"/>
      <c r="T163" s="850"/>
      <c r="U163" s="850"/>
      <c r="X163" s="806"/>
      <c r="Y163" s="845"/>
      <c r="Z163" s="845"/>
      <c r="AA163" s="845"/>
      <c r="AB163"/>
    </row>
    <row r="164" spans="1:28" x14ac:dyDescent="0.2">
      <c r="A164" s="867" t="s">
        <v>401</v>
      </c>
      <c r="B164" s="855" t="s">
        <v>393</v>
      </c>
      <c r="C164" s="854">
        <f>-(SUMIFS('Liste prévisionnel'!E:E,'Liste prévisionnel'!J:J,A164,'Liste prévisionnel'!G:G,P164)+SUMIFS('Liste prévisionnel'!E:E,'Liste prévisionnel'!J:J,A164,'Liste prévisionnel'!G:G,O164))</f>
        <v>0</v>
      </c>
      <c r="D164" s="856"/>
      <c r="E164" s="854"/>
      <c r="F164"/>
      <c r="G164"/>
      <c r="O164" s="850" t="s">
        <v>393</v>
      </c>
      <c r="P164" s="850"/>
      <c r="Q164" s="850"/>
      <c r="R164" s="850"/>
      <c r="S164" s="850"/>
      <c r="T164" s="850"/>
      <c r="U164" s="850"/>
      <c r="X164" s="806"/>
      <c r="Y164" s="845"/>
      <c r="Z164" s="845"/>
      <c r="AA164" s="845"/>
      <c r="AB164"/>
    </row>
    <row r="165" spans="1:28" x14ac:dyDescent="0.2">
      <c r="A165" s="867" t="s">
        <v>401</v>
      </c>
      <c r="B165" s="855" t="s">
        <v>176</v>
      </c>
      <c r="C165" s="854">
        <f>-(SUMIFS('Liste prévisionnel'!E:E,'Liste prévisionnel'!J:J,A165,'Liste prévisionnel'!G:G,P165)+SUMIFS('Liste prévisionnel'!E:E,'Liste prévisionnel'!J:J,A165,'Liste prévisionnel'!G:G,O165))</f>
        <v>0</v>
      </c>
      <c r="D165" s="856"/>
      <c r="E165" s="854"/>
      <c r="F165"/>
      <c r="G165"/>
      <c r="O165" s="850" t="s">
        <v>402</v>
      </c>
      <c r="X165" s="806"/>
      <c r="Y165" s="845"/>
      <c r="Z165" s="845"/>
      <c r="AA165" s="845"/>
      <c r="AB165"/>
    </row>
    <row r="166" spans="1:28" ht="15.75" thickBot="1" x14ac:dyDescent="0.25">
      <c r="B166" s="861" t="s">
        <v>769</v>
      </c>
      <c r="C166" s="860">
        <f>SUM(C155:C165)</f>
        <v>0</v>
      </c>
      <c r="D166" s="862" t="s">
        <v>770</v>
      </c>
      <c r="E166" s="860">
        <f>SUM(E155:E163)</f>
        <v>0</v>
      </c>
      <c r="F166"/>
      <c r="G166"/>
      <c r="X166" s="806"/>
      <c r="Y166" s="845"/>
      <c r="Z166" s="845"/>
      <c r="AA166" s="845"/>
      <c r="AB166"/>
    </row>
    <row r="167" spans="1:28" ht="15.75" thickBot="1" x14ac:dyDescent="0.25">
      <c r="B167" s="852"/>
      <c r="C167" s="851"/>
      <c r="D167" s="851"/>
      <c r="E167" s="851"/>
      <c r="F167"/>
      <c r="G167"/>
      <c r="X167" s="806"/>
      <c r="Y167" s="845"/>
      <c r="Z167" s="845"/>
      <c r="AA167" s="845"/>
      <c r="AB167"/>
    </row>
    <row r="168" spans="1:28" ht="15.75" thickBot="1" x14ac:dyDescent="0.25">
      <c r="B168" s="852"/>
      <c r="C168" s="863" t="s">
        <v>731</v>
      </c>
      <c r="D168" s="864">
        <f>E166-C166</f>
        <v>0</v>
      </c>
      <c r="E168" s="851"/>
      <c r="F168"/>
      <c r="G168"/>
      <c r="X168" s="806"/>
      <c r="Y168" s="845"/>
      <c r="Z168" s="845"/>
      <c r="AA168" s="845"/>
      <c r="AB168"/>
    </row>
    <row r="169" spans="1:28" x14ac:dyDescent="0.2">
      <c r="B169"/>
      <c r="C169"/>
      <c r="D169"/>
      <c r="E169"/>
      <c r="F169"/>
      <c r="G169"/>
    </row>
    <row r="170" spans="1:28" x14ac:dyDescent="0.2">
      <c r="B170"/>
      <c r="C170"/>
      <c r="D170"/>
      <c r="E170"/>
      <c r="F170"/>
      <c r="G170"/>
    </row>
    <row r="171" spans="1:28" x14ac:dyDescent="0.2">
      <c r="B171"/>
      <c r="C171"/>
      <c r="D171"/>
      <c r="E171"/>
      <c r="F171"/>
      <c r="G171"/>
    </row>
    <row r="172" spans="1:28" x14ac:dyDescent="0.2">
      <c r="B172"/>
      <c r="C172"/>
      <c r="D172"/>
      <c r="E172"/>
      <c r="F172"/>
      <c r="G172"/>
    </row>
    <row r="173" spans="1:28" x14ac:dyDescent="0.2">
      <c r="B173"/>
      <c r="C173"/>
      <c r="D173"/>
      <c r="E173"/>
      <c r="F173"/>
      <c r="G173"/>
    </row>
    <row r="174" spans="1:28" x14ac:dyDescent="0.2">
      <c r="B174"/>
      <c r="C174"/>
      <c r="D174"/>
      <c r="E174"/>
      <c r="F174"/>
      <c r="G174"/>
    </row>
    <row r="175" spans="1:28" x14ac:dyDescent="0.2">
      <c r="B175"/>
      <c r="C175"/>
      <c r="D175"/>
      <c r="E175"/>
      <c r="F175"/>
      <c r="G175"/>
    </row>
    <row r="176" spans="1:28" x14ac:dyDescent="0.2">
      <c r="A176"/>
      <c r="B176" s="806"/>
      <c r="C176" s="586"/>
      <c r="D176"/>
    </row>
    <row r="177" spans="1:9" x14ac:dyDescent="0.2">
      <c r="A177"/>
      <c r="B177"/>
      <c r="C177"/>
    </row>
    <row r="178" spans="1:9" x14ac:dyDescent="0.2">
      <c r="A178"/>
      <c r="B178"/>
      <c r="C178"/>
    </row>
    <row r="179" spans="1:9" x14ac:dyDescent="0.2">
      <c r="A179"/>
      <c r="B179"/>
      <c r="C179"/>
    </row>
    <row r="180" spans="1:9" x14ac:dyDescent="0.2">
      <c r="A180"/>
      <c r="B180"/>
      <c r="C180"/>
    </row>
    <row r="181" spans="1:9" x14ac:dyDescent="0.2">
      <c r="A181"/>
      <c r="B181"/>
      <c r="C181"/>
    </row>
    <row r="186" spans="1:9" x14ac:dyDescent="0.2">
      <c r="A186" s="1469" t="s">
        <v>771</v>
      </c>
      <c r="B186" s="1462"/>
      <c r="C186" s="1462"/>
      <c r="D186" s="1462"/>
      <c r="E186" s="1462"/>
      <c r="F186" s="1462"/>
      <c r="G186" s="1462"/>
    </row>
    <row r="187" spans="1:9" x14ac:dyDescent="0.2">
      <c r="A187" s="1462"/>
      <c r="B187" s="1462"/>
      <c r="C187" s="1462"/>
      <c r="D187" s="1462"/>
      <c r="E187" s="1462"/>
      <c r="F187" s="1462"/>
      <c r="G187" s="1462"/>
    </row>
    <row r="188" spans="1:9" ht="77.25" customHeight="1" x14ac:dyDescent="0.2">
      <c r="A188" s="1462"/>
      <c r="B188" s="1462"/>
      <c r="C188" s="1462"/>
      <c r="D188" s="1462"/>
      <c r="E188" s="1462"/>
      <c r="F188" s="1462"/>
      <c r="G188" s="1462"/>
    </row>
    <row r="190" spans="1:9" ht="19.5" x14ac:dyDescent="0.2">
      <c r="A190" s="1472" t="s">
        <v>761</v>
      </c>
      <c r="B190" s="1472"/>
      <c r="C190" s="1472"/>
      <c r="D190" s="1472"/>
      <c r="E190" s="1472"/>
      <c r="F190" s="1472"/>
      <c r="G190" s="1472"/>
      <c r="H190" s="820"/>
      <c r="I190" s="848"/>
    </row>
    <row r="192" spans="1:9" ht="15.75" x14ac:dyDescent="0.2">
      <c r="A192" s="816" t="s">
        <v>762</v>
      </c>
    </row>
    <row r="194" spans="1:22" ht="24.75" x14ac:dyDescent="0.2">
      <c r="B194" s="1468" t="s">
        <v>772</v>
      </c>
      <c r="C194" s="1468"/>
      <c r="D194" s="1468"/>
    </row>
    <row r="195" spans="1:22" x14ac:dyDescent="0.2">
      <c r="B195" s="813" t="s">
        <v>332</v>
      </c>
    </row>
    <row r="196" spans="1:22" ht="53.25" customHeight="1" x14ac:dyDescent="0.2">
      <c r="A196" s="1469" t="s">
        <v>773</v>
      </c>
      <c r="B196" s="1462"/>
      <c r="C196" s="1462"/>
      <c r="D196" s="1462"/>
      <c r="E196" s="1462"/>
      <c r="F196" s="1462"/>
      <c r="G196" s="1462"/>
    </row>
    <row r="198" spans="1:22" x14ac:dyDescent="0.2">
      <c r="A198" s="813" t="s">
        <v>728</v>
      </c>
    </row>
    <row r="199" spans="1:22" ht="15.75" thickBot="1" x14ac:dyDescent="0.25">
      <c r="B199"/>
      <c r="C199"/>
    </row>
    <row r="200" spans="1:22" x14ac:dyDescent="0.2">
      <c r="B200" s="1470" t="s">
        <v>356</v>
      </c>
      <c r="C200" s="1471"/>
      <c r="D200" s="1470" t="s">
        <v>720</v>
      </c>
      <c r="E200" s="1471"/>
    </row>
    <row r="201" spans="1:22" x14ac:dyDescent="0.2">
      <c r="B201" s="859" t="s">
        <v>764</v>
      </c>
      <c r="C201" s="858"/>
      <c r="D201" s="857"/>
      <c r="E201" s="858"/>
    </row>
    <row r="202" spans="1:22" x14ac:dyDescent="0.2">
      <c r="B202" s="853" t="s">
        <v>215</v>
      </c>
      <c r="C202" s="854">
        <f>-(SUMIFS('Liste prévisionnel'!E:E,'Liste prévisionnel'!J:J,$B$195,'Liste prévisionnel'!G:G,P202,'Liste prévisionnel'!E:E,"&lt;0")+SUMIFS('Liste prévisionnel'!E:E,'Liste prévisionnel'!J:J,$B$195,'Liste prévisionnel'!G:G,O202,'Liste prévisionnel'!E:E,"&lt;0"))</f>
        <v>1500</v>
      </c>
      <c r="D202" s="856" t="s">
        <v>774</v>
      </c>
      <c r="E202" s="854">
        <f>SUMIFS('Liste prévisionnel'!E:E,'Liste prévisionnel'!J:J,$B$195,'Liste prévisionnel'!G:G,U202,'Liste prévisionnel'!E:E,"&gt;0")</f>
        <v>7490</v>
      </c>
      <c r="O202" s="850" t="s">
        <v>364</v>
      </c>
      <c r="P202" s="850"/>
      <c r="Q202" s="850"/>
      <c r="R202" s="850"/>
      <c r="S202" s="850"/>
      <c r="T202" s="850"/>
      <c r="U202" s="850" t="s">
        <v>387</v>
      </c>
      <c r="V202" s="850"/>
    </row>
    <row r="203" spans="1:22" x14ac:dyDescent="0.2">
      <c r="B203" s="853" t="s">
        <v>365</v>
      </c>
      <c r="C203" s="854">
        <f>-(SUMIFS('Liste prévisionnel'!E:E,'Liste prévisionnel'!J:J,$B$195,'Liste prévisionnel'!G:G,P203,'Liste prévisionnel'!E:E,"&lt;0")+SUMIFS('Liste prévisionnel'!E:E,'Liste prévisionnel'!J:J,$B$195,'Liste prévisionnel'!G:G,O203,'Liste prévisionnel'!E:E,"&lt;0"))</f>
        <v>500</v>
      </c>
      <c r="D203" s="856" t="s">
        <v>176</v>
      </c>
      <c r="E203" s="854">
        <f>SUMIFS('Liste prévisionnel'!E:E,'Liste prévisionnel'!J:J,$B$195,'Liste prévisionnel'!G:G,U203,'Liste prévisionnel'!E:E,"&gt;0")</f>
        <v>0</v>
      </c>
      <c r="F203"/>
      <c r="G203"/>
      <c r="O203" s="850" t="s">
        <v>775</v>
      </c>
      <c r="P203" s="850"/>
      <c r="Q203" s="850"/>
      <c r="R203" s="850"/>
      <c r="S203" s="850"/>
      <c r="T203" s="850"/>
      <c r="U203" s="850" t="s">
        <v>176</v>
      </c>
      <c r="V203" s="850"/>
    </row>
    <row r="204" spans="1:22" x14ac:dyDescent="0.2">
      <c r="B204" s="855" t="s">
        <v>394</v>
      </c>
      <c r="C204" s="854">
        <f>-(SUMIFS('Liste prévisionnel'!E:E,'Liste prévisionnel'!J:J,$B$195,'Liste prévisionnel'!G:G,P204,'Liste prévisionnel'!E:E,"&lt;0")+SUMIFS('Liste prévisionnel'!E:E,'Liste prévisionnel'!J:J,$B$195,'Liste prévisionnel'!G:G,O204,'Liste prévisionnel'!E:E,"&lt;0"))</f>
        <v>0</v>
      </c>
      <c r="D204" s="856"/>
      <c r="E204" s="854"/>
      <c r="F204"/>
      <c r="G204"/>
      <c r="O204" s="850" t="s">
        <v>409</v>
      </c>
      <c r="P204" s="850"/>
      <c r="Q204" s="850"/>
      <c r="R204" s="850"/>
      <c r="S204" s="850"/>
      <c r="T204" s="850"/>
      <c r="U204" s="850"/>
      <c r="V204" s="850"/>
    </row>
    <row r="205" spans="1:22" x14ac:dyDescent="0.2">
      <c r="B205" s="855"/>
      <c r="C205" s="854"/>
      <c r="D205" s="856"/>
      <c r="E205" s="854"/>
      <c r="F205"/>
      <c r="G205"/>
      <c r="O205" s="850"/>
      <c r="P205" s="850"/>
      <c r="Q205" s="850"/>
      <c r="R205" s="850"/>
      <c r="S205" s="850"/>
      <c r="T205" s="850"/>
      <c r="U205" s="850"/>
      <c r="V205" s="850"/>
    </row>
    <row r="206" spans="1:22" x14ac:dyDescent="0.2">
      <c r="B206" s="859" t="s">
        <v>768</v>
      </c>
      <c r="C206" s="854"/>
      <c r="D206" s="856"/>
      <c r="E206" s="854"/>
      <c r="F206"/>
      <c r="G206"/>
      <c r="O206" s="850"/>
      <c r="P206" s="850"/>
      <c r="Q206" s="850"/>
      <c r="R206" s="850"/>
      <c r="S206" s="850"/>
      <c r="T206" s="850"/>
      <c r="U206" s="850"/>
      <c r="V206" s="850"/>
    </row>
    <row r="207" spans="1:22" x14ac:dyDescent="0.2">
      <c r="B207" s="855" t="s">
        <v>384</v>
      </c>
      <c r="C207" s="854">
        <f>-(SUMIFS('Liste prévisionnel'!E:E,'Liste prévisionnel'!J:J,$B$195,'Liste prévisionnel'!G:G,P207,'Liste prévisionnel'!E:E,"&lt;0")+SUMIFS('Liste prévisionnel'!E:E,'Liste prévisionnel'!J:J,$B$195,'Liste prévisionnel'!G:G,O207,'Liste prévisionnel'!E:E,"&lt;0"))</f>
        <v>3000</v>
      </c>
      <c r="D207" s="856"/>
      <c r="E207" s="854"/>
      <c r="F207"/>
      <c r="G207"/>
      <c r="O207" s="850" t="s">
        <v>384</v>
      </c>
      <c r="P207" s="850" t="s">
        <v>410</v>
      </c>
      <c r="Q207" s="850"/>
      <c r="R207" s="850"/>
      <c r="S207" s="850"/>
      <c r="T207" s="850"/>
      <c r="U207" s="850"/>
      <c r="V207" s="850"/>
    </row>
    <row r="208" spans="1:22" x14ac:dyDescent="0.2">
      <c r="B208" s="855" t="s">
        <v>381</v>
      </c>
      <c r="C208" s="854">
        <f>-(SUMIFS('Liste prévisionnel'!E:E,'Liste prévisionnel'!J:J,$B$195,'Liste prévisionnel'!G:G,P208,'Liste prévisionnel'!E:E,"&lt;0")+SUMIFS('Liste prévisionnel'!E:E,'Liste prévisionnel'!J:J,$B$195,'Liste prévisionnel'!G:G,O208,'Liste prévisionnel'!E:E,"&lt;0"))</f>
        <v>1500</v>
      </c>
      <c r="D208" s="856"/>
      <c r="E208" s="854"/>
      <c r="F208"/>
      <c r="G208"/>
      <c r="O208" s="850" t="s">
        <v>381</v>
      </c>
      <c r="P208" s="850"/>
      <c r="Q208" s="850"/>
      <c r="R208" s="850"/>
      <c r="S208" s="850"/>
      <c r="T208" s="850"/>
      <c r="U208" s="850"/>
      <c r="V208" s="850"/>
    </row>
    <row r="209" spans="1:22" x14ac:dyDescent="0.2">
      <c r="B209" s="855" t="s">
        <v>393</v>
      </c>
      <c r="C209" s="854">
        <f>-(SUMIFS('Liste prévisionnel'!E:E,'Liste prévisionnel'!J:J,$B$195,'Liste prévisionnel'!G:G,P209,'Liste prévisionnel'!E:E,"&lt;0")+SUMIFS('Liste prévisionnel'!E:E,'Liste prévisionnel'!J:J,$B$195,'Liste prévisionnel'!G:G,O209,'Liste prévisionnel'!E:E,"&lt;0"))</f>
        <v>0</v>
      </c>
      <c r="D209" s="856"/>
      <c r="E209" s="854"/>
      <c r="F209"/>
      <c r="G209"/>
      <c r="O209" s="850" t="s">
        <v>393</v>
      </c>
      <c r="P209" s="850"/>
      <c r="Q209" s="850"/>
      <c r="R209" s="850"/>
      <c r="S209" s="850"/>
      <c r="T209" s="850"/>
      <c r="U209" s="850"/>
      <c r="V209" s="850"/>
    </row>
    <row r="210" spans="1:22" x14ac:dyDescent="0.2">
      <c r="B210" s="855" t="s">
        <v>176</v>
      </c>
      <c r="C210" s="854">
        <f>-(SUMIFS('Liste prévisionnel'!E:E,'Liste prévisionnel'!J:J,$B$195,'Liste prévisionnel'!G:G,P210,'Liste prévisionnel'!E:E,"&lt;0")+SUMIFS('Liste prévisionnel'!E:E,'Liste prévisionnel'!J:J,$B$195,'Liste prévisionnel'!G:G,O210,'Liste prévisionnel'!E:E,"&lt;0"))</f>
        <v>0</v>
      </c>
      <c r="D210" s="856"/>
      <c r="E210" s="854"/>
      <c r="F210"/>
      <c r="G210"/>
      <c r="O210" s="850" t="s">
        <v>176</v>
      </c>
      <c r="P210" s="850"/>
      <c r="Q210" s="850"/>
      <c r="R210" s="850"/>
      <c r="S210" s="850"/>
      <c r="T210" s="850"/>
      <c r="U210" s="850"/>
      <c r="V210" s="850"/>
    </row>
    <row r="211" spans="1:22" x14ac:dyDescent="0.2">
      <c r="B211" s="855"/>
      <c r="C211" s="854"/>
      <c r="D211" s="856"/>
      <c r="E211" s="854"/>
      <c r="F211"/>
      <c r="G211"/>
      <c r="O211" s="850"/>
      <c r="P211" s="850"/>
      <c r="Q211" s="850"/>
      <c r="R211" s="850"/>
      <c r="S211" s="850"/>
      <c r="T211" s="850"/>
      <c r="U211" s="850"/>
      <c r="V211" s="850"/>
    </row>
    <row r="212" spans="1:22" x14ac:dyDescent="0.2">
      <c r="B212" s="855"/>
      <c r="C212" s="854"/>
      <c r="D212" s="856"/>
      <c r="E212" s="854"/>
      <c r="F212"/>
      <c r="G212"/>
      <c r="O212" s="850"/>
      <c r="P212" s="850"/>
      <c r="Q212" s="850"/>
      <c r="R212" s="850"/>
      <c r="S212" s="850"/>
      <c r="T212" s="850"/>
      <c r="U212" s="850"/>
      <c r="V212" s="850"/>
    </row>
    <row r="213" spans="1:22" ht="15.75" thickBot="1" x14ac:dyDescent="0.25">
      <c r="B213" s="861" t="s">
        <v>769</v>
      </c>
      <c r="C213" s="860">
        <f>SUM(C202:C210)</f>
        <v>6500</v>
      </c>
      <c r="D213" s="862" t="s">
        <v>770</v>
      </c>
      <c r="E213" s="860">
        <f>SUM(E202:E210)</f>
        <v>7490</v>
      </c>
      <c r="F213"/>
      <c r="G213"/>
    </row>
    <row r="214" spans="1:22" ht="15.75" thickBot="1" x14ac:dyDescent="0.25">
      <c r="B214" s="852"/>
      <c r="C214" s="851"/>
      <c r="D214" s="851"/>
      <c r="E214" s="851"/>
      <c r="F214"/>
      <c r="G214"/>
    </row>
    <row r="215" spans="1:22" x14ac:dyDescent="0.2">
      <c r="B215" s="852"/>
      <c r="C215" s="863" t="s">
        <v>731</v>
      </c>
      <c r="D215" s="864">
        <f>E213-C213</f>
        <v>990</v>
      </c>
      <c r="E215" s="851"/>
      <c r="F215"/>
      <c r="G215"/>
    </row>
    <row r="216" spans="1:22" ht="14.25" customHeight="1" x14ac:dyDescent="0.2">
      <c r="B216" s="806"/>
      <c r="C216" s="845"/>
      <c r="D216" s="845"/>
      <c r="E216" s="845"/>
      <c r="F216"/>
      <c r="G216"/>
    </row>
    <row r="217" spans="1:22" ht="14.25" customHeight="1" x14ac:dyDescent="0.2">
      <c r="B217" s="806"/>
      <c r="C217" s="845"/>
      <c r="D217" s="845"/>
      <c r="E217" s="845"/>
      <c r="F217"/>
      <c r="G217"/>
    </row>
    <row r="218" spans="1:22" ht="14.25" customHeight="1" x14ac:dyDescent="0.2">
      <c r="B218" s="806"/>
      <c r="C218" s="845"/>
      <c r="D218" s="845"/>
      <c r="E218" s="845"/>
      <c r="F218"/>
      <c r="G218"/>
    </row>
    <row r="219" spans="1:22" ht="14.25" customHeight="1" x14ac:dyDescent="0.2">
      <c r="B219" s="806"/>
      <c r="C219" s="845"/>
      <c r="D219" s="845"/>
      <c r="E219" s="845"/>
      <c r="F219"/>
      <c r="G219"/>
    </row>
    <row r="220" spans="1:22" ht="14.25" customHeight="1" x14ac:dyDescent="0.2">
      <c r="B220" s="806"/>
      <c r="C220" s="845"/>
      <c r="D220" s="845"/>
      <c r="E220" s="845"/>
      <c r="F220"/>
      <c r="G220"/>
    </row>
    <row r="221" spans="1:22" ht="14.25" customHeight="1" x14ac:dyDescent="0.2">
      <c r="B221" s="806" t="s">
        <v>376</v>
      </c>
    </row>
    <row r="222" spans="1:22" ht="14.25" customHeight="1" x14ac:dyDescent="0.2">
      <c r="A222" s="1469"/>
      <c r="B222" s="1462"/>
      <c r="C222" s="1462"/>
      <c r="D222" s="1462"/>
      <c r="E222" s="1462"/>
      <c r="F222" s="1462"/>
      <c r="G222" s="1462"/>
    </row>
    <row r="223" spans="1:22" ht="14.25" customHeight="1" x14ac:dyDescent="0.2"/>
    <row r="224" spans="1:22" ht="14.25" customHeight="1" x14ac:dyDescent="0.2">
      <c r="A224" s="813" t="s">
        <v>728</v>
      </c>
    </row>
    <row r="225" spans="2:22" ht="14.25" customHeight="1" x14ac:dyDescent="0.2">
      <c r="B225"/>
      <c r="C225"/>
    </row>
    <row r="226" spans="2:22" ht="14.25" customHeight="1" x14ac:dyDescent="0.2">
      <c r="B226" s="1470" t="s">
        <v>356</v>
      </c>
      <c r="C226" s="1471"/>
      <c r="D226" s="1470" t="s">
        <v>720</v>
      </c>
      <c r="E226" s="1471"/>
    </row>
    <row r="227" spans="2:22" ht="14.25" customHeight="1" x14ac:dyDescent="0.2">
      <c r="B227" s="859" t="s">
        <v>764</v>
      </c>
      <c r="C227" s="858"/>
      <c r="D227" s="857"/>
      <c r="E227" s="858"/>
    </row>
    <row r="228" spans="2:22" ht="14.25" customHeight="1" x14ac:dyDescent="0.2">
      <c r="B228" s="853" t="s">
        <v>215</v>
      </c>
      <c r="C228" s="854">
        <f>-(SUMIFS('Liste prévisionnel'!E:E,'Liste prévisionnel'!J:J,$B$201,'Liste prévisionnel'!G:G,P228,'Liste prévisionnel'!E:E,"&lt;0")+SUMIFS('Liste prévisionnel'!E:E,'Liste prévisionnel'!J:J,$B$221,'Liste prévisionnel'!G:G,O228,'Liste prévisionnel'!E:E,"&lt;0"))</f>
        <v>1500</v>
      </c>
      <c r="D228" s="856" t="s">
        <v>774</v>
      </c>
      <c r="E228" s="854">
        <f>SUMIFS('Liste prévisionnel'!E:E,'Liste prévisionnel'!J:J,$B$221,'Liste prévisionnel'!G:G,U228,'Liste prévisionnel'!E:E,"&gt;0")</f>
        <v>6650</v>
      </c>
      <c r="O228" s="850" t="s">
        <v>364</v>
      </c>
      <c r="P228" s="850"/>
      <c r="Q228" s="850"/>
      <c r="R228" s="850"/>
      <c r="S228" s="850"/>
      <c r="T228" s="850"/>
      <c r="U228" s="850" t="s">
        <v>387</v>
      </c>
      <c r="V228" s="850"/>
    </row>
    <row r="229" spans="2:22" ht="14.25" customHeight="1" x14ac:dyDescent="0.2">
      <c r="B229" s="853" t="s">
        <v>365</v>
      </c>
      <c r="C229" s="854">
        <f>-(SUMIFS('Liste prévisionnel'!E:E,'Liste prévisionnel'!J:J,$B$201,'Liste prévisionnel'!G:G,P229,'Liste prévisionnel'!E:E,"&lt;0")+SUMIFS('Liste prévisionnel'!E:E,'Liste prévisionnel'!J:J,$B$221,'Liste prévisionnel'!G:G,O229,'Liste prévisionnel'!E:E,"&lt;0"))</f>
        <v>500</v>
      </c>
      <c r="D229" s="856" t="s">
        <v>176</v>
      </c>
      <c r="E229" s="854">
        <f>SUMIFS('Liste prévisionnel'!E:E,'Liste prévisionnel'!J:J,$B$221,'Liste prévisionnel'!G:G,U229,'Liste prévisionnel'!E:E,"&gt;0")</f>
        <v>0</v>
      </c>
      <c r="F229"/>
      <c r="G229"/>
      <c r="O229" s="850" t="s">
        <v>775</v>
      </c>
      <c r="P229" s="850"/>
      <c r="Q229" s="850"/>
      <c r="R229" s="850"/>
      <c r="S229" s="850"/>
      <c r="T229" s="850"/>
      <c r="U229" s="850" t="s">
        <v>176</v>
      </c>
      <c r="V229" s="850"/>
    </row>
    <row r="230" spans="2:22" ht="14.25" customHeight="1" x14ac:dyDescent="0.2">
      <c r="B230" s="855" t="s">
        <v>394</v>
      </c>
      <c r="C230" s="854">
        <f>-(SUMIFS('Liste prévisionnel'!E:E,'Liste prévisionnel'!J:J,$B$201,'Liste prévisionnel'!G:G,P230,'Liste prévisionnel'!E:E,"&lt;0")+SUMIFS('Liste prévisionnel'!E:E,'Liste prévisionnel'!J:J,$B$221,'Liste prévisionnel'!G:G,O230,'Liste prévisionnel'!E:E,"&lt;0"))</f>
        <v>0</v>
      </c>
      <c r="D230" s="856"/>
      <c r="E230" s="854"/>
      <c r="F230"/>
      <c r="G230"/>
      <c r="O230" s="850" t="s">
        <v>409</v>
      </c>
      <c r="P230" s="850"/>
      <c r="Q230" s="850"/>
      <c r="R230" s="850"/>
      <c r="S230" s="850"/>
      <c r="T230" s="850"/>
      <c r="U230" s="850"/>
      <c r="V230" s="850"/>
    </row>
    <row r="231" spans="2:22" ht="14.25" customHeight="1" x14ac:dyDescent="0.2">
      <c r="B231" s="855"/>
      <c r="C231" s="854"/>
      <c r="D231" s="856"/>
      <c r="E231" s="854"/>
      <c r="F231"/>
      <c r="G231"/>
      <c r="O231" s="850"/>
      <c r="P231" s="850"/>
      <c r="Q231" s="850"/>
      <c r="R231" s="850"/>
      <c r="S231" s="850"/>
      <c r="T231" s="850"/>
      <c r="U231" s="850"/>
      <c r="V231" s="850"/>
    </row>
    <row r="232" spans="2:22" ht="14.25" customHeight="1" x14ac:dyDescent="0.2">
      <c r="B232" s="859" t="s">
        <v>768</v>
      </c>
      <c r="C232" s="854"/>
      <c r="D232" s="856"/>
      <c r="E232" s="854"/>
      <c r="F232"/>
      <c r="G232"/>
      <c r="O232" s="850"/>
      <c r="P232" s="850"/>
      <c r="Q232" s="850"/>
      <c r="R232" s="850"/>
      <c r="S232" s="850"/>
      <c r="T232" s="850"/>
      <c r="U232" s="850"/>
      <c r="V232" s="850"/>
    </row>
    <row r="233" spans="2:22" ht="14.25" customHeight="1" x14ac:dyDescent="0.2">
      <c r="B233" s="855" t="s">
        <v>384</v>
      </c>
      <c r="C233" s="854">
        <f>-(SUMIFS('Liste prévisionnel'!E:E,'Liste prévisionnel'!J:J,$B$201,'Liste prévisionnel'!G:G,P233,'Liste prévisionnel'!E:E,"&lt;0")+SUMIFS('Liste prévisionnel'!E:E,'Liste prévisionnel'!J:J,$B$221,'Liste prévisionnel'!G:G,O233,'Liste prévisionnel'!E:E,"&lt;0"))</f>
        <v>3000</v>
      </c>
      <c r="D233" s="856"/>
      <c r="E233" s="854"/>
      <c r="F233"/>
      <c r="G233"/>
      <c r="O233" s="850" t="s">
        <v>384</v>
      </c>
      <c r="P233" s="850" t="s">
        <v>410</v>
      </c>
      <c r="Q233" s="850"/>
      <c r="R233" s="850"/>
      <c r="S233" s="850"/>
      <c r="T233" s="850"/>
      <c r="U233" s="850"/>
      <c r="V233" s="850"/>
    </row>
    <row r="234" spans="2:22" ht="14.25" customHeight="1" x14ac:dyDescent="0.2">
      <c r="B234" s="855" t="s">
        <v>381</v>
      </c>
      <c r="C234" s="854">
        <f>-(SUMIFS('Liste prévisionnel'!E:E,'Liste prévisionnel'!J:J,$B$201,'Liste prévisionnel'!G:G,P234,'Liste prévisionnel'!E:E,"&lt;0")+SUMIFS('Liste prévisionnel'!E:E,'Liste prévisionnel'!J:J,$B$221,'Liste prévisionnel'!G:G,O234,'Liste prévisionnel'!E:E,"&lt;0"))</f>
        <v>1500</v>
      </c>
      <c r="D234" s="856"/>
      <c r="E234" s="854"/>
      <c r="F234"/>
      <c r="G234"/>
      <c r="O234" s="850" t="s">
        <v>381</v>
      </c>
      <c r="P234" s="850"/>
      <c r="Q234" s="850"/>
      <c r="R234" s="850"/>
      <c r="S234" s="850"/>
      <c r="T234" s="850"/>
      <c r="U234" s="850"/>
      <c r="V234" s="850"/>
    </row>
    <row r="235" spans="2:22" ht="14.25" customHeight="1" x14ac:dyDescent="0.2">
      <c r="B235" s="855" t="s">
        <v>393</v>
      </c>
      <c r="C235" s="854">
        <f>-(SUMIFS('Liste prévisionnel'!E:E,'Liste prévisionnel'!J:J,$B$201,'Liste prévisionnel'!G:G,P235,'Liste prévisionnel'!E:E,"&lt;0")+SUMIFS('Liste prévisionnel'!E:E,'Liste prévisionnel'!J:J,$B$221,'Liste prévisionnel'!G:G,O235,'Liste prévisionnel'!E:E,"&lt;0"))</f>
        <v>0</v>
      </c>
      <c r="D235" s="856"/>
      <c r="E235" s="854"/>
      <c r="F235"/>
      <c r="G235"/>
      <c r="O235" s="850" t="s">
        <v>393</v>
      </c>
      <c r="P235" s="850"/>
      <c r="Q235" s="850"/>
      <c r="R235" s="850"/>
      <c r="S235" s="850"/>
      <c r="T235" s="850"/>
      <c r="U235" s="850"/>
      <c r="V235" s="850"/>
    </row>
    <row r="236" spans="2:22" ht="14.25" customHeight="1" x14ac:dyDescent="0.2">
      <c r="B236" s="855" t="s">
        <v>176</v>
      </c>
      <c r="C236" s="854">
        <f>-(SUMIFS('Liste prévisionnel'!E:E,'Liste prévisionnel'!J:J,$B$201,'Liste prévisionnel'!G:G,P236,'Liste prévisionnel'!E:E,"&lt;0")+SUMIFS('Liste prévisionnel'!E:E,'Liste prévisionnel'!J:J,$B$221,'Liste prévisionnel'!G:G,O236,'Liste prévisionnel'!E:E,"&lt;0"))</f>
        <v>0</v>
      </c>
      <c r="D236" s="856"/>
      <c r="E236" s="854"/>
      <c r="F236"/>
      <c r="G236"/>
      <c r="O236" s="850" t="s">
        <v>176</v>
      </c>
      <c r="P236" s="850"/>
      <c r="Q236" s="850"/>
      <c r="R236" s="850"/>
      <c r="S236" s="850"/>
      <c r="T236" s="850"/>
      <c r="U236" s="850"/>
      <c r="V236" s="850"/>
    </row>
    <row r="237" spans="2:22" ht="14.25" customHeight="1" x14ac:dyDescent="0.2">
      <c r="B237" s="855"/>
      <c r="C237" s="854"/>
      <c r="D237" s="856"/>
      <c r="E237" s="854"/>
      <c r="F237"/>
      <c r="G237"/>
      <c r="O237" s="850"/>
      <c r="P237" s="850"/>
      <c r="Q237" s="850"/>
      <c r="R237" s="850"/>
      <c r="S237" s="850"/>
      <c r="T237" s="850"/>
      <c r="U237" s="850"/>
      <c r="V237" s="850"/>
    </row>
    <row r="238" spans="2:22" ht="14.25" customHeight="1" x14ac:dyDescent="0.2">
      <c r="B238" s="855"/>
      <c r="C238" s="854"/>
      <c r="D238" s="856"/>
      <c r="E238" s="854"/>
      <c r="F238"/>
      <c r="G238"/>
      <c r="O238" s="850"/>
      <c r="P238" s="850"/>
      <c r="Q238" s="850"/>
      <c r="R238" s="850"/>
      <c r="S238" s="850"/>
      <c r="T238" s="850"/>
      <c r="U238" s="850"/>
      <c r="V238" s="850"/>
    </row>
    <row r="239" spans="2:22" ht="14.25" customHeight="1" x14ac:dyDescent="0.2">
      <c r="B239" s="861" t="s">
        <v>769</v>
      </c>
      <c r="C239" s="860">
        <f>SUM(C228:C236)</f>
        <v>6500</v>
      </c>
      <c r="D239" s="862" t="s">
        <v>770</v>
      </c>
      <c r="E239" s="860">
        <f>SUM(E228:E236)</f>
        <v>6650</v>
      </c>
      <c r="F239"/>
      <c r="G239"/>
    </row>
    <row r="240" spans="2:22" ht="14.25" customHeight="1" x14ac:dyDescent="0.2">
      <c r="B240" s="852"/>
      <c r="C240" s="851"/>
      <c r="D240" s="851"/>
      <c r="E240" s="851"/>
      <c r="F240"/>
      <c r="G240"/>
    </row>
    <row r="241" spans="1:9" ht="14.25" customHeight="1" x14ac:dyDescent="0.2">
      <c r="B241" s="852"/>
      <c r="C241" s="863" t="s">
        <v>731</v>
      </c>
      <c r="D241" s="864">
        <f>E239-C239</f>
        <v>150</v>
      </c>
      <c r="E241" s="851"/>
      <c r="F241"/>
      <c r="G241"/>
    </row>
    <row r="242" spans="1:9" ht="14.25" customHeight="1" x14ac:dyDescent="0.2">
      <c r="B242" s="806"/>
      <c r="C242" s="845"/>
      <c r="D242" s="845"/>
      <c r="E242" s="845"/>
      <c r="F242"/>
      <c r="G242"/>
    </row>
    <row r="244" spans="1:9" ht="14.25" customHeight="1" x14ac:dyDescent="0.2">
      <c r="A244" s="1462" t="s">
        <v>776</v>
      </c>
      <c r="B244" s="1462"/>
      <c r="C244" s="1462"/>
      <c r="D244" s="1462"/>
      <c r="E244" s="1462"/>
      <c r="F244" s="1462"/>
      <c r="G244" s="1462"/>
    </row>
    <row r="245" spans="1:9" ht="14.25" customHeight="1" x14ac:dyDescent="0.2">
      <c r="A245" s="1462"/>
      <c r="B245" s="1462"/>
      <c r="C245" s="1462"/>
      <c r="D245" s="1462"/>
      <c r="E245" s="1462"/>
      <c r="F245" s="1462"/>
      <c r="G245" s="1462"/>
    </row>
    <row r="246" spans="1:9" ht="14.25" customHeight="1" x14ac:dyDescent="0.2">
      <c r="A246" s="1462"/>
      <c r="B246" s="1462"/>
      <c r="C246" s="1462"/>
      <c r="D246" s="1462"/>
      <c r="E246" s="1462"/>
      <c r="F246" s="1462"/>
      <c r="G246" s="1462"/>
    </row>
    <row r="248" spans="1:9" ht="19.5" x14ac:dyDescent="0.2">
      <c r="A248" s="1472" t="s">
        <v>761</v>
      </c>
      <c r="B248" s="1472"/>
      <c r="C248" s="1472"/>
      <c r="D248" s="1472"/>
      <c r="E248" s="1472"/>
      <c r="F248" s="1472"/>
      <c r="G248" s="1472"/>
      <c r="H248" s="820"/>
      <c r="I248" s="848"/>
    </row>
    <row r="250" spans="1:9" ht="15.75" x14ac:dyDescent="0.2">
      <c r="A250" s="816" t="s">
        <v>762</v>
      </c>
    </row>
    <row r="252" spans="1:9" ht="24.75" x14ac:dyDescent="0.2">
      <c r="B252" s="1468" t="s">
        <v>777</v>
      </c>
      <c r="C252" s="1468"/>
      <c r="D252" s="1468"/>
    </row>
    <row r="253" spans="1:9" x14ac:dyDescent="0.2">
      <c r="B253" s="813" t="s">
        <v>369</v>
      </c>
    </row>
    <row r="254" spans="1:9" x14ac:dyDescent="0.2">
      <c r="A254" s="1462" t="s">
        <v>778</v>
      </c>
      <c r="B254" s="1462"/>
      <c r="C254" s="1462"/>
      <c r="D254" s="1462"/>
      <c r="E254" s="1462"/>
      <c r="F254" s="1462"/>
      <c r="G254" s="1462"/>
    </row>
    <row r="256" spans="1:9" x14ac:dyDescent="0.2">
      <c r="A256" s="813" t="s">
        <v>728</v>
      </c>
    </row>
    <row r="257" spans="1:22" ht="15.75" thickBot="1" x14ac:dyDescent="0.25">
      <c r="B257"/>
      <c r="C257"/>
    </row>
    <row r="258" spans="1:22" x14ac:dyDescent="0.2">
      <c r="B258" s="1470" t="s">
        <v>356</v>
      </c>
      <c r="C258" s="1471"/>
      <c r="D258" s="1470" t="s">
        <v>355</v>
      </c>
      <c r="E258" s="1471"/>
    </row>
    <row r="259" spans="1:22" x14ac:dyDescent="0.2">
      <c r="B259" s="859" t="s">
        <v>764</v>
      </c>
      <c r="C259" s="858"/>
      <c r="D259" s="857"/>
      <c r="E259" s="858"/>
    </row>
    <row r="260" spans="1:22" x14ac:dyDescent="0.2">
      <c r="B260" s="853" t="s">
        <v>215</v>
      </c>
      <c r="C260" s="854">
        <f>-(SUMIFS('Liste prévisionnel'!E:E,'Liste prévisionnel'!J:J,$B$253,'Liste prévisionnel'!G:G,P260,'Liste prévisionnel'!E:E,"&lt;0")+SUMIFS('Liste prévisionnel'!E:E,'Liste prévisionnel'!J:J,$B$253,'Liste prévisionnel'!G:G,O260,'Liste prévisionnel'!E:E,"&lt;0"))</f>
        <v>1000</v>
      </c>
      <c r="D260" s="856" t="s">
        <v>392</v>
      </c>
      <c r="E260" s="854">
        <f>SUMIFS('Liste prévisionnel'!E:E,'Liste prévisionnel'!J:J,$B$253,'Liste prévisionnel'!G:G,U260,'Liste prévisionnel'!E:E,"&gt;0")</f>
        <v>3300</v>
      </c>
      <c r="O260" s="850" t="s">
        <v>364</v>
      </c>
      <c r="P260" s="850"/>
      <c r="Q260" s="850"/>
      <c r="R260" s="850"/>
      <c r="S260" s="850"/>
      <c r="T260" s="850"/>
      <c r="U260" s="850" t="s">
        <v>392</v>
      </c>
      <c r="V260" s="850"/>
    </row>
    <row r="261" spans="1:22" x14ac:dyDescent="0.2">
      <c r="B261" s="853" t="s">
        <v>365</v>
      </c>
      <c r="C261" s="854">
        <f>-(SUMIFS('Liste prévisionnel'!E:E,'Liste prévisionnel'!J:J,$B$253,'Liste prévisionnel'!G:G,P261,'Liste prévisionnel'!E:E,"&lt;0")+SUMIFS('Liste prévisionnel'!E:E,'Liste prévisionnel'!J:J,$B$253,'Liste prévisionnel'!G:G,O261,'Liste prévisionnel'!E:E,"&lt;0"))</f>
        <v>0</v>
      </c>
      <c r="D261" s="856"/>
      <c r="E261" s="854"/>
      <c r="F261"/>
      <c r="G261"/>
      <c r="O261" s="850" t="s">
        <v>775</v>
      </c>
      <c r="P261" s="850"/>
      <c r="Q261" s="850"/>
      <c r="R261" s="850"/>
      <c r="S261" s="850"/>
      <c r="T261" s="850"/>
      <c r="U261" s="850" t="s">
        <v>176</v>
      </c>
      <c r="V261" s="850"/>
    </row>
    <row r="262" spans="1:22" x14ac:dyDescent="0.2">
      <c r="B262" s="855" t="s">
        <v>384</v>
      </c>
      <c r="C262" s="854">
        <f>-(SUMIFS('Liste prévisionnel'!E:E,'Liste prévisionnel'!J:J,$B$253,'Liste prévisionnel'!G:G,P262,'Liste prévisionnel'!E:E,"&lt;0")+SUMIFS('Liste prévisionnel'!E:E,'Liste prévisionnel'!J:J,$B$253,'Liste prévisionnel'!G:G,O262,'Liste prévisionnel'!E:E,"&lt;0"))</f>
        <v>1000</v>
      </c>
      <c r="D262" s="856"/>
      <c r="E262" s="854"/>
      <c r="F262"/>
      <c r="G262"/>
      <c r="O262" s="850" t="s">
        <v>384</v>
      </c>
      <c r="P262" s="850" t="s">
        <v>410</v>
      </c>
      <c r="Q262" s="850"/>
      <c r="R262" s="850"/>
      <c r="S262" s="850"/>
      <c r="T262" s="850"/>
      <c r="U262" s="850"/>
      <c r="V262" s="850"/>
    </row>
    <row r="263" spans="1:22" x14ac:dyDescent="0.2">
      <c r="B263" s="855" t="s">
        <v>393</v>
      </c>
      <c r="C263" s="854">
        <f>-(SUMIFS('Liste prévisionnel'!E:E,'Liste prévisionnel'!J:J,$B$253,'Liste prévisionnel'!G:G,P263,'Liste prévisionnel'!E:E,"&lt;0")+SUMIFS('Liste prévisionnel'!E:E,'Liste prévisionnel'!J:J,$B$253,'Liste prévisionnel'!G:G,O263,'Liste prévisionnel'!E:E,"&lt;0"))</f>
        <v>1000</v>
      </c>
      <c r="D263" s="856"/>
      <c r="E263" s="854"/>
      <c r="F263"/>
      <c r="G263"/>
      <c r="O263" s="850" t="s">
        <v>393</v>
      </c>
      <c r="P263" s="850"/>
      <c r="Q263" s="850"/>
      <c r="R263" s="850"/>
      <c r="S263" s="850"/>
      <c r="T263" s="850"/>
      <c r="U263" s="850"/>
      <c r="V263" s="850"/>
    </row>
    <row r="264" spans="1:22" x14ac:dyDescent="0.2">
      <c r="B264" s="855"/>
      <c r="C264" s="854"/>
      <c r="D264" s="856"/>
      <c r="E264" s="854"/>
      <c r="F264"/>
      <c r="G264"/>
      <c r="O264" s="850"/>
      <c r="P264" s="850"/>
      <c r="Q264" s="850"/>
      <c r="R264" s="850"/>
      <c r="S264" s="850"/>
      <c r="T264" s="850"/>
      <c r="U264" s="850"/>
      <c r="V264" s="850"/>
    </row>
    <row r="265" spans="1:22" x14ac:dyDescent="0.2">
      <c r="B265" s="855"/>
      <c r="C265" s="854"/>
      <c r="D265" s="856"/>
      <c r="E265" s="854"/>
      <c r="F265"/>
      <c r="G265"/>
      <c r="O265" s="850"/>
      <c r="P265" s="850"/>
      <c r="Q265" s="850"/>
      <c r="R265" s="850"/>
      <c r="S265" s="850"/>
      <c r="T265" s="850"/>
      <c r="U265" s="850"/>
      <c r="V265" s="850"/>
    </row>
    <row r="266" spans="1:22" ht="15.75" thickBot="1" x14ac:dyDescent="0.25">
      <c r="B266" s="861" t="s">
        <v>769</v>
      </c>
      <c r="C266" s="860">
        <f>SUM(C260:C263)</f>
        <v>3000</v>
      </c>
      <c r="D266" s="862" t="s">
        <v>770</v>
      </c>
      <c r="E266" s="860">
        <f>SUM(E260:E263)</f>
        <v>3300</v>
      </c>
      <c r="F266"/>
      <c r="G266"/>
    </row>
    <row r="267" spans="1:22" ht="15.75" thickBot="1" x14ac:dyDescent="0.25">
      <c r="B267" s="852"/>
      <c r="C267" s="851"/>
      <c r="D267" s="851"/>
      <c r="E267" s="851"/>
      <c r="F267"/>
      <c r="G267"/>
    </row>
    <row r="268" spans="1:22" ht="15.75" thickBot="1" x14ac:dyDescent="0.25">
      <c r="B268" s="852"/>
      <c r="C268" s="863" t="s">
        <v>731</v>
      </c>
      <c r="D268" s="864">
        <f>E266-C266</f>
        <v>300</v>
      </c>
      <c r="E268" s="851"/>
      <c r="F268"/>
      <c r="G268"/>
    </row>
    <row r="269" spans="1:22" x14ac:dyDescent="0.2">
      <c r="B269" s="806"/>
      <c r="C269" s="845"/>
      <c r="D269" s="845"/>
      <c r="E269" s="845"/>
      <c r="F269"/>
      <c r="G269"/>
    </row>
    <row r="270" spans="1:22" x14ac:dyDescent="0.2">
      <c r="B270" s="813" t="s">
        <v>368</v>
      </c>
    </row>
    <row r="271" spans="1:22" x14ac:dyDescent="0.2">
      <c r="A271" s="1462"/>
      <c r="B271" s="1462"/>
      <c r="C271" s="1462"/>
      <c r="D271" s="1462"/>
      <c r="E271" s="1462"/>
      <c r="F271" s="1462"/>
      <c r="G271" s="1462"/>
    </row>
    <row r="273" spans="1:22" x14ac:dyDescent="0.2">
      <c r="A273" s="813" t="s">
        <v>728</v>
      </c>
    </row>
    <row r="274" spans="1:22" ht="15.75" thickBot="1" x14ac:dyDescent="0.25">
      <c r="B274"/>
      <c r="C274"/>
    </row>
    <row r="275" spans="1:22" x14ac:dyDescent="0.2">
      <c r="B275" s="1470" t="s">
        <v>356</v>
      </c>
      <c r="C275" s="1471"/>
      <c r="D275" s="1470" t="s">
        <v>355</v>
      </c>
      <c r="E275" s="1471"/>
    </row>
    <row r="276" spans="1:22" x14ac:dyDescent="0.2">
      <c r="B276" s="859" t="s">
        <v>764</v>
      </c>
      <c r="C276" s="858"/>
      <c r="D276" s="857"/>
      <c r="E276" s="858"/>
    </row>
    <row r="277" spans="1:22" x14ac:dyDescent="0.2">
      <c r="B277" s="853" t="s">
        <v>215</v>
      </c>
      <c r="C277" s="854">
        <f>-(SUMIFS('Liste prévisionnel'!E:E,'Liste prévisionnel'!J:J,$B$270,'Liste prévisionnel'!G:G,P277,'Liste prévisionnel'!E:E,"&lt;0")+SUMIFS('Liste prévisionnel'!E:E,'Liste prévisionnel'!J:J,$B$270,'Liste prévisionnel'!G:G,O277,'Liste prévisionnel'!E:E,"&lt;0"))</f>
        <v>1000</v>
      </c>
      <c r="D277" s="856" t="s">
        <v>392</v>
      </c>
      <c r="E277" s="854">
        <f>SUMIFS('Liste prévisionnel'!E:E,'Liste prévisionnel'!J:J,$B$270,'Liste prévisionnel'!G:G,U277,'Liste prévisionnel'!E:E,"&gt;0")</f>
        <v>3300</v>
      </c>
      <c r="O277" s="850" t="s">
        <v>364</v>
      </c>
      <c r="P277" s="850"/>
      <c r="Q277" s="850"/>
      <c r="R277" s="850"/>
      <c r="S277" s="850"/>
      <c r="T277" s="850"/>
      <c r="U277" s="850" t="s">
        <v>392</v>
      </c>
      <c r="V277" s="850"/>
    </row>
    <row r="278" spans="1:22" x14ac:dyDescent="0.2">
      <c r="B278" s="853" t="s">
        <v>365</v>
      </c>
      <c r="C278" s="854">
        <f>-(SUMIFS('Liste prévisionnel'!E:E,'Liste prévisionnel'!J:J,$B$270,'Liste prévisionnel'!G:G,P278,'Liste prévisionnel'!E:E,"&lt;0")+SUMIFS('Liste prévisionnel'!E:E,'Liste prévisionnel'!J:J,$B$270,'Liste prévisionnel'!G:G,O278,'Liste prévisionnel'!E:E,"&lt;0"))</f>
        <v>0</v>
      </c>
      <c r="D278" s="856"/>
      <c r="E278" s="854"/>
      <c r="F278"/>
      <c r="G278"/>
      <c r="O278" s="850" t="s">
        <v>775</v>
      </c>
      <c r="P278" s="850"/>
      <c r="Q278" s="850"/>
      <c r="R278" s="850"/>
      <c r="S278" s="850"/>
      <c r="T278" s="850"/>
      <c r="U278" s="850" t="s">
        <v>176</v>
      </c>
      <c r="V278" s="850"/>
    </row>
    <row r="279" spans="1:22" x14ac:dyDescent="0.2">
      <c r="B279" s="855" t="s">
        <v>384</v>
      </c>
      <c r="C279" s="854">
        <f>-(SUMIFS('Liste prévisionnel'!E:E,'Liste prévisionnel'!J:J,$B$270,'Liste prévisionnel'!G:G,P279,'Liste prévisionnel'!E:E,"&lt;0")+SUMIFS('Liste prévisionnel'!E:E,'Liste prévisionnel'!J:J,$B$270,'Liste prévisionnel'!G:G,O279,'Liste prévisionnel'!E:E,"&lt;0"))</f>
        <v>1000</v>
      </c>
      <c r="D279" s="856"/>
      <c r="E279" s="854"/>
      <c r="F279"/>
      <c r="G279"/>
      <c r="O279" s="850" t="s">
        <v>384</v>
      </c>
      <c r="P279" s="850" t="s">
        <v>410</v>
      </c>
      <c r="Q279" s="850"/>
      <c r="R279" s="850"/>
      <c r="S279" s="850"/>
      <c r="T279" s="850"/>
      <c r="U279" s="850"/>
      <c r="V279" s="850"/>
    </row>
    <row r="280" spans="1:22" x14ac:dyDescent="0.2">
      <c r="B280" s="855" t="s">
        <v>393</v>
      </c>
      <c r="C280" s="854">
        <f>-(SUMIFS('Liste prévisionnel'!E:E,'Liste prévisionnel'!J:J,$B$270,'Liste prévisionnel'!G:G,P280,'Liste prévisionnel'!E:E,"&lt;0")+SUMIFS('Liste prévisionnel'!E:E,'Liste prévisionnel'!J:J,$B$270,'Liste prévisionnel'!G:G,O280,'Liste prévisionnel'!E:E,"&lt;0"))</f>
        <v>1000</v>
      </c>
      <c r="D280" s="856"/>
      <c r="E280" s="854"/>
      <c r="F280"/>
      <c r="G280" s="1116"/>
      <c r="O280" s="850" t="s">
        <v>393</v>
      </c>
      <c r="P280" s="850" t="s">
        <v>108</v>
      </c>
      <c r="Q280" s="850"/>
      <c r="R280" s="850"/>
      <c r="S280" s="850"/>
      <c r="T280" s="850"/>
      <c r="U280" s="850"/>
      <c r="V280" s="850"/>
    </row>
    <row r="281" spans="1:22" x14ac:dyDescent="0.2">
      <c r="B281" s="855"/>
      <c r="C281" s="854"/>
      <c r="D281" s="856"/>
      <c r="E281" s="854"/>
      <c r="F281"/>
      <c r="G281"/>
    </row>
    <row r="282" spans="1:22" x14ac:dyDescent="0.2">
      <c r="B282" s="855"/>
      <c r="C282" s="854"/>
      <c r="D282" s="856"/>
      <c r="E282" s="854"/>
      <c r="F282"/>
      <c r="G282"/>
    </row>
    <row r="283" spans="1:22" ht="15.75" thickBot="1" x14ac:dyDescent="0.25">
      <c r="B283" s="861" t="s">
        <v>769</v>
      </c>
      <c r="C283" s="860">
        <f>SUM(C277:C280)</f>
        <v>3000</v>
      </c>
      <c r="D283" s="862" t="s">
        <v>770</v>
      </c>
      <c r="E283" s="860">
        <f>SUM(E277:E280)</f>
        <v>3300</v>
      </c>
      <c r="F283"/>
      <c r="G283"/>
    </row>
    <row r="284" spans="1:22" ht="15.75" thickBot="1" x14ac:dyDescent="0.25">
      <c r="B284" s="852"/>
      <c r="C284" s="851"/>
      <c r="D284" s="851"/>
      <c r="E284" s="851"/>
      <c r="F284"/>
      <c r="G284"/>
    </row>
    <row r="285" spans="1:22" ht="15.75" thickBot="1" x14ac:dyDescent="0.25">
      <c r="B285" s="852"/>
      <c r="C285" s="863" t="s">
        <v>731</v>
      </c>
      <c r="D285" s="864">
        <f>E283-C283</f>
        <v>300</v>
      </c>
      <c r="E285" s="851"/>
      <c r="F285"/>
      <c r="G285"/>
    </row>
    <row r="286" spans="1:22" ht="15.75" thickBot="1" x14ac:dyDescent="0.25">
      <c r="B286" s="806"/>
      <c r="C286" s="845"/>
      <c r="D286" s="845"/>
      <c r="E286" s="845"/>
      <c r="F286"/>
      <c r="G286"/>
    </row>
    <row r="287" spans="1:22" ht="15.75" thickBot="1" x14ac:dyDescent="0.25">
      <c r="B287" s="1473" t="s">
        <v>779</v>
      </c>
      <c r="C287" s="1474"/>
      <c r="D287" s="865">
        <f>D285+D268</f>
        <v>600</v>
      </c>
    </row>
    <row r="290" spans="1:7" x14ac:dyDescent="0.2">
      <c r="A290" s="1469" t="s">
        <v>780</v>
      </c>
      <c r="B290" s="1462"/>
      <c r="C290" s="1462"/>
      <c r="D290" s="1462"/>
      <c r="E290" s="1462"/>
      <c r="F290" s="1462"/>
      <c r="G290" s="1462"/>
    </row>
    <row r="291" spans="1:7" x14ac:dyDescent="0.2">
      <c r="A291" s="1462"/>
      <c r="B291" s="1462"/>
      <c r="C291" s="1462"/>
      <c r="D291" s="1462"/>
      <c r="E291" s="1462"/>
      <c r="F291" s="1462"/>
      <c r="G291" s="1462"/>
    </row>
    <row r="292" spans="1:7" x14ac:dyDescent="0.2">
      <c r="A292" s="1462"/>
      <c r="B292" s="1462"/>
      <c r="C292" s="1462"/>
      <c r="D292" s="1462"/>
      <c r="E292" s="1462"/>
      <c r="F292" s="1462"/>
      <c r="G292" s="1462"/>
    </row>
    <row r="295" spans="1:7" ht="19.5" x14ac:dyDescent="0.2">
      <c r="A295" s="1472" t="s">
        <v>761</v>
      </c>
      <c r="B295" s="1472"/>
      <c r="C295" s="1472"/>
      <c r="D295" s="1472"/>
      <c r="E295" s="1472"/>
      <c r="F295" s="1472"/>
      <c r="G295" s="1472"/>
    </row>
    <row r="297" spans="1:7" ht="15.75" x14ac:dyDescent="0.2">
      <c r="A297" s="816" t="s">
        <v>762</v>
      </c>
    </row>
    <row r="299" spans="1:7" ht="24.75" x14ac:dyDescent="0.2">
      <c r="B299" s="1468" t="s">
        <v>781</v>
      </c>
      <c r="C299" s="1468"/>
      <c r="D299" s="1468"/>
    </row>
    <row r="300" spans="1:7" x14ac:dyDescent="0.2">
      <c r="B300" s="813" t="s">
        <v>337</v>
      </c>
    </row>
    <row r="301" spans="1:7" x14ac:dyDescent="0.2">
      <c r="A301" s="1462" t="s">
        <v>782</v>
      </c>
      <c r="B301" s="1462"/>
      <c r="C301" s="1462"/>
      <c r="D301" s="1462"/>
      <c r="E301" s="1462"/>
      <c r="F301" s="1462"/>
      <c r="G301" s="1462"/>
    </row>
    <row r="303" spans="1:7" x14ac:dyDescent="0.2">
      <c r="A303" s="813" t="s">
        <v>728</v>
      </c>
    </row>
    <row r="304" spans="1:7" ht="15.75" thickBot="1" x14ac:dyDescent="0.25">
      <c r="B304"/>
      <c r="C304"/>
    </row>
    <row r="305" spans="2:22" x14ac:dyDescent="0.2">
      <c r="B305" s="1470" t="s">
        <v>356</v>
      </c>
      <c r="C305" s="1471"/>
      <c r="D305" s="1470" t="s">
        <v>720</v>
      </c>
      <c r="E305" s="1471"/>
    </row>
    <row r="306" spans="2:22" x14ac:dyDescent="0.2">
      <c r="B306" s="859" t="s">
        <v>764</v>
      </c>
      <c r="C306" s="858"/>
      <c r="D306" s="857"/>
      <c r="E306" s="858"/>
    </row>
    <row r="307" spans="2:22" x14ac:dyDescent="0.2">
      <c r="B307" s="853" t="s">
        <v>215</v>
      </c>
      <c r="C307" s="854">
        <f>-(SUMIFS('Liste prévisionnel'!E:E,'Liste prévisionnel'!J:J,$B$300,'Liste prévisionnel'!G:G,P307)+SUMIFS('Liste prévisionnel'!E:E,'Liste prévisionnel'!J:J,$B$300,'Liste prévisionnel'!G:G,O307))</f>
        <v>0</v>
      </c>
      <c r="D307" s="856" t="s">
        <v>774</v>
      </c>
      <c r="E307" s="854">
        <f>SUMIFS('Liste prévisionnel'!E:E,'Liste prévisionnel'!J:J,$B$300,'Liste prévisionnel'!G:G,U307,'Liste prévisionnel'!E:E,"&gt;0")</f>
        <v>0</v>
      </c>
      <c r="F307" s="870">
        <f>E307/65</f>
        <v>0</v>
      </c>
      <c r="O307" s="850" t="s">
        <v>364</v>
      </c>
      <c r="P307" s="850"/>
      <c r="Q307" s="850"/>
      <c r="R307" s="850"/>
      <c r="S307" s="850"/>
      <c r="T307" s="850"/>
      <c r="U307" s="850" t="s">
        <v>411</v>
      </c>
      <c r="V307" s="850"/>
    </row>
    <row r="308" spans="2:22" x14ac:dyDescent="0.2">
      <c r="B308" s="853" t="s">
        <v>365</v>
      </c>
      <c r="C308" s="854">
        <f>-(SUMIFS('Liste prévisionnel'!E:E,'Liste prévisionnel'!J:J,$B$300,'Liste prévisionnel'!G:G,P308,'Liste prévisionnel'!E:E,"&lt;0")+SUMIFS('Liste prévisionnel'!E:E,'Liste prévisionnel'!J:J,$B$300,'Liste prévisionnel'!G:G,O308,'Liste prévisionnel'!E:E,"&lt;0"))</f>
        <v>0</v>
      </c>
      <c r="D308" s="856" t="s">
        <v>413</v>
      </c>
      <c r="E308" s="854">
        <f>SUMIFS('Liste prévisionnel'!E:E,'Liste prévisionnel'!J:J,$B$300,'Liste prévisionnel'!G:G,U308,'Liste prévisionnel'!E:E,"&gt;0")</f>
        <v>0</v>
      </c>
      <c r="F308"/>
      <c r="G308"/>
      <c r="O308" s="850" t="s">
        <v>783</v>
      </c>
      <c r="P308" s="850"/>
      <c r="Q308" s="850"/>
      <c r="R308" s="850"/>
      <c r="S308" s="850"/>
      <c r="T308" s="850"/>
      <c r="U308" s="850" t="s">
        <v>784</v>
      </c>
      <c r="V308" s="850"/>
    </row>
    <row r="309" spans="2:22" x14ac:dyDescent="0.2">
      <c r="B309" s="855" t="s">
        <v>785</v>
      </c>
      <c r="C309" s="854">
        <f>-(SUMIFS('Liste prévisionnel'!E:E,'Liste prévisionnel'!J:J,$B$300,'Liste prévisionnel'!G:G,P309,'Liste prévisionnel'!E:E,"&lt;0")+SUMIFS('Liste prévisionnel'!E:E,'Liste prévisionnel'!J:J,$B$300,'Liste prévisionnel'!G:G,O309,'Liste prévisionnel'!E:E,"&lt;0"))</f>
        <v>0</v>
      </c>
      <c r="D309" s="856" t="s">
        <v>392</v>
      </c>
      <c r="E309" s="854">
        <f>SUMIFS('Liste prévisionnel'!E:E,'Liste prévisionnel'!J:J,$B$300,'Liste prévisionnel'!G:G,U309,'Liste prévisionnel'!E:E,"&gt;0")</f>
        <v>0</v>
      </c>
      <c r="F309"/>
      <c r="G309"/>
      <c r="O309" s="850" t="s">
        <v>412</v>
      </c>
      <c r="P309" s="850"/>
      <c r="Q309" s="850"/>
      <c r="R309" s="850"/>
      <c r="S309" s="850"/>
      <c r="T309" s="850"/>
      <c r="U309" s="850" t="s">
        <v>392</v>
      </c>
      <c r="V309" s="850"/>
    </row>
    <row r="310" spans="2:22" x14ac:dyDescent="0.2">
      <c r="B310" s="855"/>
      <c r="C310" s="854"/>
      <c r="D310" s="856"/>
      <c r="E310" s="854"/>
      <c r="F310"/>
      <c r="G310"/>
      <c r="O310" s="850"/>
      <c r="P310" s="850"/>
      <c r="Q310" s="850"/>
      <c r="R310" s="850"/>
      <c r="S310" s="850"/>
      <c r="T310" s="850"/>
      <c r="U310" s="850"/>
      <c r="V310" s="850"/>
    </row>
    <row r="311" spans="2:22" x14ac:dyDescent="0.2">
      <c r="B311" s="859" t="s">
        <v>768</v>
      </c>
      <c r="C311" s="854"/>
      <c r="D311" s="856"/>
      <c r="E311" s="854"/>
      <c r="F311"/>
      <c r="G311"/>
    </row>
    <row r="312" spans="2:22" x14ac:dyDescent="0.2">
      <c r="B312" s="855" t="s">
        <v>384</v>
      </c>
      <c r="C312" s="854">
        <f>-(SUMIFS('Liste prévisionnel'!E:E,'Liste prévisionnel'!J:J,$B$300,'Liste prévisionnel'!G:G,P312,'Liste prévisionnel'!E:E,"&lt;0")+SUMIFS('Liste prévisionnel'!E:E,'Liste prévisionnel'!J:J,$B$300,'Liste prévisionnel'!G:G,O312,'Liste prévisionnel'!E:E,"&lt;0"))</f>
        <v>0</v>
      </c>
      <c r="D312" s="856"/>
      <c r="E312" s="854"/>
      <c r="F312"/>
      <c r="G312"/>
      <c r="O312" s="850" t="s">
        <v>384</v>
      </c>
    </row>
    <row r="313" spans="2:22" x14ac:dyDescent="0.2">
      <c r="B313" s="855" t="s">
        <v>393</v>
      </c>
      <c r="C313" s="854">
        <f>-(SUMIFS('Liste prévisionnel'!E:E,'Liste prévisionnel'!J:J,$B$300,'Liste prévisionnel'!G:G,P313,'Liste prévisionnel'!E:E,"&lt;0")+SUMIFS('Liste prévisionnel'!E:E,'Liste prévisionnel'!J:J,$B$300,'Liste prévisionnel'!G:G,O313,'Liste prévisionnel'!E:E,"&lt;0"))</f>
        <v>0</v>
      </c>
      <c r="D313" s="856"/>
      <c r="E313" s="854"/>
      <c r="F313" s="869"/>
      <c r="G313"/>
      <c r="O313" s="850" t="s">
        <v>393</v>
      </c>
    </row>
    <row r="314" spans="2:22" x14ac:dyDescent="0.2">
      <c r="B314" s="855"/>
      <c r="C314" s="854"/>
      <c r="D314" s="856"/>
      <c r="E314" s="854"/>
      <c r="F314"/>
      <c r="G314"/>
      <c r="O314" s="850"/>
    </row>
    <row r="315" spans="2:22" x14ac:dyDescent="0.2">
      <c r="B315" s="855"/>
      <c r="C315" s="854"/>
      <c r="D315" s="856"/>
      <c r="E315" s="854"/>
      <c r="F315"/>
      <c r="G315"/>
    </row>
    <row r="316" spans="2:22" x14ac:dyDescent="0.2">
      <c r="B316" s="855"/>
      <c r="C316" s="854"/>
      <c r="D316" s="856"/>
      <c r="E316" s="854"/>
      <c r="F316"/>
      <c r="G316"/>
    </row>
    <row r="317" spans="2:22" x14ac:dyDescent="0.2">
      <c r="B317" s="855"/>
      <c r="C317" s="854"/>
      <c r="D317" s="856"/>
      <c r="E317" s="854"/>
      <c r="F317"/>
      <c r="G317"/>
    </row>
    <row r="318" spans="2:22" ht="15.75" thickBot="1" x14ac:dyDescent="0.25">
      <c r="B318" s="861" t="s">
        <v>769</v>
      </c>
      <c r="C318" s="860">
        <f>SUM(C307:C315)</f>
        <v>0</v>
      </c>
      <c r="D318" s="862" t="s">
        <v>770</v>
      </c>
      <c r="E318" s="860">
        <f>SUM(E307:E315)</f>
        <v>0</v>
      </c>
      <c r="F318"/>
      <c r="G318"/>
    </row>
    <row r="319" spans="2:22" ht="15.75" thickBot="1" x14ac:dyDescent="0.25">
      <c r="B319" s="852"/>
      <c r="C319" s="851"/>
      <c r="D319" s="851"/>
      <c r="E319" s="851"/>
      <c r="F319"/>
      <c r="G319"/>
    </row>
    <row r="320" spans="2:22" ht="15.75" thickBot="1" x14ac:dyDescent="0.25">
      <c r="B320" s="852"/>
      <c r="C320" s="863" t="s">
        <v>731</v>
      </c>
      <c r="D320" s="864">
        <f>E318-C318</f>
        <v>0</v>
      </c>
      <c r="E320" s="851"/>
      <c r="F320"/>
      <c r="G320"/>
    </row>
    <row r="321" spans="1:7" x14ac:dyDescent="0.2">
      <c r="B321" s="806"/>
      <c r="C321" s="845"/>
      <c r="D321" s="845"/>
      <c r="E321" s="845"/>
      <c r="F321"/>
      <c r="G321"/>
    </row>
    <row r="322" spans="1:7" x14ac:dyDescent="0.2">
      <c r="B322" s="806"/>
      <c r="C322" s="845"/>
      <c r="D322" s="845"/>
      <c r="E322" s="845"/>
      <c r="F322"/>
      <c r="G322"/>
    </row>
    <row r="323" spans="1:7" ht="15" customHeight="1" x14ac:dyDescent="0.2">
      <c r="A323" s="1469" t="s">
        <v>786</v>
      </c>
      <c r="B323" s="1462"/>
      <c r="C323" s="1462"/>
      <c r="D323" s="1462"/>
      <c r="E323" s="1462"/>
      <c r="F323" s="1462"/>
      <c r="G323" s="1462"/>
    </row>
    <row r="324" spans="1:7" x14ac:dyDescent="0.2">
      <c r="A324" s="1462"/>
      <c r="B324" s="1462"/>
      <c r="C324" s="1462"/>
      <c r="D324" s="1462"/>
      <c r="E324" s="1462"/>
      <c r="F324" s="1462"/>
      <c r="G324" s="1462"/>
    </row>
    <row r="325" spans="1:7" x14ac:dyDescent="0.2">
      <c r="A325" s="1462"/>
      <c r="B325" s="1462"/>
      <c r="C325" s="1462"/>
      <c r="D325" s="1462"/>
      <c r="E325" s="1462"/>
      <c r="F325" s="1462"/>
      <c r="G325" s="1462"/>
    </row>
    <row r="326" spans="1:7" x14ac:dyDescent="0.2">
      <c r="A326" s="1462"/>
      <c r="B326" s="1462"/>
      <c r="C326" s="1462"/>
      <c r="D326" s="1462"/>
      <c r="E326" s="1462"/>
      <c r="F326" s="1462"/>
      <c r="G326" s="1462"/>
    </row>
    <row r="327" spans="1:7" x14ac:dyDescent="0.2">
      <c r="A327" s="1462"/>
      <c r="B327" s="1462"/>
      <c r="C327" s="1462"/>
      <c r="D327" s="1462"/>
      <c r="E327" s="1462"/>
      <c r="F327" s="1462"/>
      <c r="G327" s="1462"/>
    </row>
    <row r="328" spans="1:7" x14ac:dyDescent="0.2">
      <c r="A328" s="1462"/>
      <c r="B328" s="1462"/>
      <c r="C328" s="1462"/>
      <c r="D328" s="1462"/>
      <c r="E328" s="1462"/>
      <c r="F328" s="1462"/>
      <c r="G328" s="1462"/>
    </row>
    <row r="329" spans="1:7" x14ac:dyDescent="0.2">
      <c r="A329" s="1462"/>
      <c r="B329" s="1462"/>
      <c r="C329" s="1462"/>
      <c r="D329" s="1462"/>
      <c r="E329" s="1462"/>
      <c r="F329" s="1462"/>
      <c r="G329" s="1462"/>
    </row>
    <row r="330" spans="1:7" x14ac:dyDescent="0.2">
      <c r="A330" s="1462"/>
      <c r="B330" s="1462"/>
      <c r="C330" s="1462"/>
      <c r="D330" s="1462"/>
      <c r="E330" s="1462"/>
      <c r="F330" s="1462"/>
      <c r="G330" s="1462"/>
    </row>
    <row r="331" spans="1:7" x14ac:dyDescent="0.2">
      <c r="A331" s="1462"/>
      <c r="B331" s="1462"/>
      <c r="C331" s="1462"/>
      <c r="D331" s="1462"/>
      <c r="E331" s="1462"/>
      <c r="F331" s="1462"/>
      <c r="G331" s="1462"/>
    </row>
    <row r="332" spans="1:7" x14ac:dyDescent="0.2">
      <c r="A332" s="1462"/>
      <c r="B332" s="1462"/>
      <c r="C332" s="1462"/>
      <c r="D332" s="1462"/>
      <c r="E332" s="1462"/>
      <c r="F332" s="1462"/>
      <c r="G332" s="1462"/>
    </row>
    <row r="334" spans="1:7" ht="19.5" x14ac:dyDescent="0.2">
      <c r="A334" s="1475" t="s">
        <v>335</v>
      </c>
      <c r="B334" s="1475"/>
      <c r="C334" s="1475"/>
      <c r="D334" s="1475"/>
      <c r="E334" s="1475"/>
      <c r="F334" s="1475"/>
      <c r="G334" s="1475"/>
    </row>
    <row r="336" spans="1:7" ht="15.75" x14ac:dyDescent="0.2">
      <c r="A336" s="816" t="s">
        <v>787</v>
      </c>
    </row>
    <row r="338" spans="1:22" ht="24.75" x14ac:dyDescent="0.2">
      <c r="B338" s="1468" t="s">
        <v>788</v>
      </c>
      <c r="C338" s="1468"/>
      <c r="D338" s="1468"/>
    </row>
    <row r="339" spans="1:22" x14ac:dyDescent="0.2">
      <c r="B339" s="813" t="s">
        <v>340</v>
      </c>
    </row>
    <row r="340" spans="1:22" ht="39.75" customHeight="1" x14ac:dyDescent="0.2">
      <c r="A340" s="1469" t="s">
        <v>789</v>
      </c>
      <c r="B340" s="1462"/>
      <c r="C340" s="1462"/>
      <c r="D340" s="1462"/>
      <c r="E340" s="1462"/>
      <c r="F340" s="1462"/>
      <c r="G340" s="1462"/>
    </row>
    <row r="341" spans="1:22" ht="17.25" customHeight="1" x14ac:dyDescent="0.2"/>
    <row r="342" spans="1:22" x14ac:dyDescent="0.2">
      <c r="A342" s="813" t="s">
        <v>728</v>
      </c>
    </row>
    <row r="343" spans="1:22" ht="15.75" thickBot="1" x14ac:dyDescent="0.25">
      <c r="B343"/>
      <c r="C343"/>
    </row>
    <row r="344" spans="1:22" x14ac:dyDescent="0.2">
      <c r="B344" s="1470" t="s">
        <v>356</v>
      </c>
      <c r="C344" s="1471"/>
      <c r="D344" s="1470" t="s">
        <v>720</v>
      </c>
      <c r="E344" s="1471"/>
    </row>
    <row r="345" spans="1:22" x14ac:dyDescent="0.2">
      <c r="B345" s="855" t="s">
        <v>490</v>
      </c>
      <c r="C345" s="854">
        <f>-(SUMIFS('Liste prévisionnel'!E:E,'Liste prévisionnel'!J:J,$B$31,'Liste prévisionnel'!G:G,P345,'Liste prévisionnel'!E:E,"&lt;0")+SUMIFS('Liste prévisionnel'!E:E,'Liste prévisionnel'!J:J,$B$339,'Liste prévisionnel'!G:G,O345,'Liste prévisionnel'!E:E,"&lt;0"))</f>
        <v>4440</v>
      </c>
      <c r="D345" s="856" t="s">
        <v>35</v>
      </c>
      <c r="E345" s="854">
        <f>SUMIFS('Liste prévisionnel'!E:E,'Liste prévisionnel'!J:J,$B$339,'Liste prévisionnel'!G:G,U345,'Liste prévisionnel'!E:E,"&gt;0")</f>
        <v>4440</v>
      </c>
      <c r="O345" s="850" t="s">
        <v>385</v>
      </c>
      <c r="P345" s="850"/>
      <c r="Q345" s="850"/>
      <c r="R345" s="850"/>
      <c r="S345" s="850"/>
      <c r="T345" s="850"/>
      <c r="U345" s="850" t="s">
        <v>392</v>
      </c>
      <c r="V345" s="850"/>
    </row>
    <row r="346" spans="1:22" x14ac:dyDescent="0.2">
      <c r="B346" s="855" t="s">
        <v>356</v>
      </c>
      <c r="C346" s="854">
        <f>-(SUMIFS('Liste prévisionnel'!E:E,'Liste prévisionnel'!J:J,$B$31,'Liste prévisionnel'!G:G,P346,'Liste prévisionnel'!E:E,"&lt;0")+SUMIFS('Liste prévisionnel'!E:E,'Liste prévisionnel'!J:J,$B$339,'Liste prévisionnel'!G:G,O346,'Liste prévisionnel'!E:E,"&lt;0"))</f>
        <v>0</v>
      </c>
      <c r="D346" s="856" t="s">
        <v>790</v>
      </c>
      <c r="E346" s="854">
        <f>SUMIFS('Liste prévisionnel'!E:E,'Liste prévisionnel'!J:J,$B$339,'Liste prévisionnel'!G:G,U346,'Liste prévisionnel'!E:E,"&gt;0")</f>
        <v>0</v>
      </c>
      <c r="F346" s="1117" t="s">
        <v>791</v>
      </c>
      <c r="G346"/>
      <c r="O346" s="850"/>
      <c r="P346" s="850"/>
      <c r="Q346" s="850"/>
      <c r="R346" s="850"/>
      <c r="S346" s="850"/>
      <c r="T346" s="850"/>
      <c r="U346" s="850" t="s">
        <v>419</v>
      </c>
      <c r="V346" s="850"/>
    </row>
    <row r="347" spans="1:22" x14ac:dyDescent="0.2">
      <c r="B347" s="855" t="s">
        <v>229</v>
      </c>
      <c r="C347" s="854">
        <f>-(SUMIFS('Liste prévisionnel'!E:E,'Liste prévisionnel'!J:J,$B$31,'Liste prévisionnel'!G:G,P347,'Liste prévisionnel'!E:E,"&lt;0")+SUMIFS('Liste prévisionnel'!E:E,'Liste prévisionnel'!J:J,$B$339,'Liste prévisionnel'!G:G,O347,'Liste prévisionnel'!E:E,"&lt;0"))</f>
        <v>309.17</v>
      </c>
      <c r="D347" s="856"/>
      <c r="E347" s="854"/>
      <c r="F347"/>
      <c r="G347"/>
      <c r="O347" s="850" t="s">
        <v>229</v>
      </c>
      <c r="P347" s="850"/>
      <c r="Q347" s="850"/>
      <c r="R347" s="850"/>
      <c r="S347" s="850"/>
      <c r="T347" s="850"/>
      <c r="U347" s="850"/>
      <c r="V347" s="850"/>
    </row>
    <row r="348" spans="1:22" x14ac:dyDescent="0.2">
      <c r="B348" s="855"/>
      <c r="C348" s="854"/>
      <c r="D348" s="856"/>
      <c r="E348" s="854"/>
      <c r="F348"/>
      <c r="G348"/>
      <c r="O348" s="850"/>
      <c r="P348" s="850"/>
      <c r="Q348" s="850"/>
      <c r="R348" s="850"/>
      <c r="S348" s="850"/>
      <c r="T348" s="850"/>
      <c r="U348" s="850"/>
      <c r="V348" s="850"/>
    </row>
    <row r="349" spans="1:22" x14ac:dyDescent="0.2">
      <c r="B349" s="855"/>
      <c r="C349" s="854"/>
      <c r="D349" s="856"/>
      <c r="E349" s="854"/>
      <c r="F349"/>
      <c r="G349"/>
    </row>
    <row r="350" spans="1:22" x14ac:dyDescent="0.2">
      <c r="B350" s="855"/>
      <c r="C350" s="854"/>
      <c r="D350" s="856"/>
      <c r="E350" s="854"/>
      <c r="F350"/>
      <c r="G350"/>
      <c r="O350" s="850"/>
    </row>
    <row r="351" spans="1:22" ht="15.75" thickBot="1" x14ac:dyDescent="0.25">
      <c r="B351" s="861" t="s">
        <v>769</v>
      </c>
      <c r="C351" s="860">
        <f>SUM(C345:C348)</f>
        <v>4749.17</v>
      </c>
      <c r="D351" s="862" t="s">
        <v>770</v>
      </c>
      <c r="E351" s="860">
        <f>SUM(E345:E348)</f>
        <v>4440</v>
      </c>
      <c r="F351"/>
      <c r="G351"/>
      <c r="O351" s="850"/>
    </row>
    <row r="352" spans="1:22" ht="15.75" thickBot="1" x14ac:dyDescent="0.25">
      <c r="B352" s="852"/>
      <c r="C352" s="851"/>
      <c r="D352" s="851"/>
      <c r="E352" s="851"/>
      <c r="F352"/>
      <c r="G352"/>
      <c r="O352" s="850"/>
    </row>
    <row r="353" spans="1:16" ht="15.75" thickBot="1" x14ac:dyDescent="0.25">
      <c r="B353" s="852"/>
      <c r="C353" s="863" t="s">
        <v>731</v>
      </c>
      <c r="D353" s="864">
        <f>E351-C351</f>
        <v>-309.17000000000007</v>
      </c>
      <c r="E353" s="851"/>
      <c r="F353"/>
      <c r="G353"/>
    </row>
    <row r="354" spans="1:16" x14ac:dyDescent="0.2">
      <c r="B354" s="806"/>
      <c r="C354" s="845"/>
      <c r="D354" s="845"/>
      <c r="E354" s="845"/>
      <c r="F354"/>
      <c r="G354"/>
    </row>
    <row r="355" spans="1:16" x14ac:dyDescent="0.2">
      <c r="B355" s="806"/>
      <c r="C355" s="845"/>
      <c r="D355" s="845"/>
      <c r="E355" s="845"/>
      <c r="F355"/>
      <c r="G355"/>
    </row>
    <row r="356" spans="1:16" x14ac:dyDescent="0.2">
      <c r="A356" s="1469" t="s">
        <v>792</v>
      </c>
      <c r="B356" s="1462"/>
      <c r="C356" s="1462"/>
      <c r="D356" s="1462"/>
      <c r="E356" s="1462"/>
      <c r="F356" s="1462"/>
      <c r="G356" s="1462"/>
    </row>
    <row r="357" spans="1:16" x14ac:dyDescent="0.2">
      <c r="A357" s="1462"/>
      <c r="B357" s="1462"/>
      <c r="C357" s="1462"/>
      <c r="D357" s="1462"/>
      <c r="E357" s="1462"/>
      <c r="F357" s="1462"/>
      <c r="G357" s="1462"/>
    </row>
    <row r="358" spans="1:16" x14ac:dyDescent="0.2">
      <c r="A358" s="1462"/>
      <c r="B358" s="1462"/>
      <c r="C358" s="1462"/>
      <c r="D358" s="1462"/>
      <c r="E358" s="1462"/>
      <c r="F358" s="1462"/>
      <c r="G358" s="1462"/>
    </row>
    <row r="360" spans="1:16" ht="24.75" x14ac:dyDescent="0.2">
      <c r="B360" s="1468" t="s">
        <v>793</v>
      </c>
      <c r="C360" s="1468"/>
      <c r="D360" s="1468"/>
    </row>
    <row r="362" spans="1:16" x14ac:dyDescent="0.2">
      <c r="A362" s="1462" t="s">
        <v>794</v>
      </c>
      <c r="B362" s="1462"/>
      <c r="C362" s="1462"/>
      <c r="D362" s="1462"/>
      <c r="E362" s="1462"/>
      <c r="F362" s="1462"/>
      <c r="G362" s="1462"/>
    </row>
    <row r="364" spans="1:16" x14ac:dyDescent="0.2">
      <c r="A364" s="813" t="s">
        <v>728</v>
      </c>
    </row>
    <row r="365" spans="1:16" ht="15.75" thickBot="1" x14ac:dyDescent="0.25">
      <c r="B365"/>
      <c r="C365"/>
    </row>
    <row r="366" spans="1:16" x14ac:dyDescent="0.2">
      <c r="B366" s="1470" t="s">
        <v>356</v>
      </c>
      <c r="C366" s="1471"/>
      <c r="D366" s="1470" t="s">
        <v>720</v>
      </c>
      <c r="E366" s="1471"/>
    </row>
    <row r="367" spans="1:16" x14ac:dyDescent="0.2">
      <c r="A367" s="866" t="s">
        <v>421</v>
      </c>
      <c r="B367" s="855" t="s">
        <v>795</v>
      </c>
      <c r="C367" s="854">
        <f>-SUMIFS('Liste prévisionnel'!E:E,'Liste prévisionnel'!J:J,A367,'Liste prévisionnel'!G:G,O367,'Liste prévisionnel'!E:E,"&lt;0")</f>
        <v>0</v>
      </c>
      <c r="D367" s="856"/>
      <c r="E367" s="854"/>
      <c r="O367" s="850" t="s">
        <v>422</v>
      </c>
    </row>
    <row r="368" spans="1:16" x14ac:dyDescent="0.2">
      <c r="A368" s="866" t="s">
        <v>383</v>
      </c>
      <c r="B368" s="855" t="s">
        <v>491</v>
      </c>
      <c r="C368" s="854">
        <f>-SUMIFS('Liste prévisionnel'!E:E,'Liste prévisionnel'!J:J,A368,'Liste prévisionnel'!G:G,O368)-SUMIFS('Liste prévisionnel'!E:E,'Liste prévisionnel'!J:J,A368,'Liste prévisionnel'!G:G,P368)</f>
        <v>63.6</v>
      </c>
      <c r="D368" s="856"/>
      <c r="E368" s="854"/>
      <c r="F368"/>
      <c r="G368"/>
      <c r="O368" s="850" t="s">
        <v>382</v>
      </c>
      <c r="P368" s="850" t="s">
        <v>491</v>
      </c>
    </row>
    <row r="369" spans="1:15" x14ac:dyDescent="0.2">
      <c r="A369" s="866" t="s">
        <v>420</v>
      </c>
      <c r="B369" s="855" t="s">
        <v>420</v>
      </c>
      <c r="C369" s="854">
        <f>-SUMIFS('Liste prévisionnel'!E:E,'Liste prévisionnel'!J:J,A369,'Liste prévisionnel'!G:G,O369,'Liste prévisionnel'!E:E,"&lt;0")</f>
        <v>0</v>
      </c>
      <c r="D369" s="856"/>
      <c r="E369" s="854"/>
      <c r="F369"/>
      <c r="G369"/>
      <c r="O369" s="850" t="s">
        <v>420</v>
      </c>
    </row>
    <row r="370" spans="1:15" x14ac:dyDescent="0.2">
      <c r="A370" s="866" t="s">
        <v>361</v>
      </c>
      <c r="B370" s="855" t="s">
        <v>796</v>
      </c>
      <c r="C370" s="854">
        <f>-SUMIFS('Liste prévisionnel'!E:E,'Liste prévisionnel'!J:J,A370,'Liste prévisionnel'!G:G,O370,'Liste prévisionnel'!E:E,"&lt;0")</f>
        <v>70</v>
      </c>
      <c r="D370" s="856"/>
      <c r="E370" s="854"/>
      <c r="F370"/>
      <c r="G370"/>
      <c r="O370" s="850" t="s">
        <v>359</v>
      </c>
    </row>
    <row r="371" spans="1:15" x14ac:dyDescent="0.2">
      <c r="B371" s="855"/>
      <c r="C371" s="854"/>
      <c r="D371" s="856"/>
      <c r="E371" s="854"/>
      <c r="F371"/>
      <c r="G371"/>
      <c r="O371" s="850"/>
    </row>
    <row r="372" spans="1:15" x14ac:dyDescent="0.2">
      <c r="B372" s="855"/>
      <c r="C372" s="854"/>
      <c r="D372" s="856"/>
      <c r="E372" s="854"/>
      <c r="F372"/>
      <c r="G372"/>
      <c r="O372" s="850"/>
    </row>
    <row r="373" spans="1:15" ht="15.75" thickBot="1" x14ac:dyDescent="0.25">
      <c r="B373" s="861" t="s">
        <v>769</v>
      </c>
      <c r="C373" s="860">
        <f>SUM(C367:C370)</f>
        <v>133.6</v>
      </c>
      <c r="D373" s="862" t="s">
        <v>770</v>
      </c>
      <c r="E373" s="860">
        <f>SUM(E367:E370)</f>
        <v>0</v>
      </c>
      <c r="F373"/>
      <c r="G373"/>
    </row>
    <row r="374" spans="1:15" ht="15.75" thickBot="1" x14ac:dyDescent="0.25">
      <c r="B374" s="852"/>
      <c r="C374" s="851"/>
      <c r="D374" s="851"/>
      <c r="E374" s="851"/>
      <c r="F374"/>
      <c r="G374"/>
    </row>
    <row r="375" spans="1:15" ht="15.75" thickBot="1" x14ac:dyDescent="0.25">
      <c r="B375" s="852"/>
      <c r="C375" s="863" t="s">
        <v>731</v>
      </c>
      <c r="D375" s="864">
        <f>E373-C373</f>
        <v>-133.6</v>
      </c>
      <c r="E375" s="851"/>
      <c r="F375"/>
      <c r="G375"/>
    </row>
    <row r="376" spans="1:15" x14ac:dyDescent="0.2">
      <c r="B376" s="806"/>
      <c r="C376" s="845"/>
      <c r="D376" s="845"/>
      <c r="E376" s="845"/>
      <c r="F376"/>
      <c r="G376"/>
    </row>
    <row r="377" spans="1:15" x14ac:dyDescent="0.2">
      <c r="B377" s="806"/>
      <c r="C377" s="845"/>
      <c r="D377" s="845"/>
      <c r="E377" s="845"/>
      <c r="F377"/>
      <c r="G377"/>
    </row>
    <row r="378" spans="1:15" x14ac:dyDescent="0.2">
      <c r="A378" s="1469" t="s">
        <v>797</v>
      </c>
      <c r="B378" s="1462"/>
      <c r="C378" s="1462"/>
      <c r="D378" s="1462"/>
      <c r="E378" s="1462"/>
      <c r="F378" s="1462"/>
      <c r="G378" s="1462"/>
    </row>
    <row r="379" spans="1:15" x14ac:dyDescent="0.2">
      <c r="A379" s="1462"/>
      <c r="B379" s="1462"/>
      <c r="C379" s="1462"/>
      <c r="D379" s="1462"/>
      <c r="E379" s="1462"/>
      <c r="F379" s="1462"/>
      <c r="G379" s="1462"/>
    </row>
    <row r="380" spans="1:15" x14ac:dyDescent="0.2">
      <c r="A380" s="1462"/>
      <c r="B380" s="1462"/>
      <c r="C380" s="1462"/>
      <c r="D380" s="1462"/>
      <c r="E380" s="1462"/>
      <c r="F380" s="1462"/>
      <c r="G380" s="1462"/>
    </row>
    <row r="384" spans="1:15" ht="19.5" x14ac:dyDescent="0.2">
      <c r="A384" s="1475" t="s">
        <v>335</v>
      </c>
      <c r="B384" s="1475"/>
      <c r="C384" s="1475"/>
      <c r="D384" s="1475"/>
      <c r="E384" s="1475"/>
      <c r="F384" s="1475"/>
      <c r="G384" s="1475"/>
    </row>
    <row r="386" spans="1:21" ht="15.75" x14ac:dyDescent="0.2">
      <c r="A386" s="816" t="s">
        <v>787</v>
      </c>
    </row>
    <row r="388" spans="1:21" ht="24.75" x14ac:dyDescent="0.2">
      <c r="B388" s="1468" t="s">
        <v>798</v>
      </c>
      <c r="C388" s="1468"/>
      <c r="D388" s="1468"/>
      <c r="E388" s="1468"/>
      <c r="F388" s="1468"/>
      <c r="G388" s="1468"/>
    </row>
    <row r="389" spans="1:21" x14ac:dyDescent="0.2">
      <c r="B389" s="813" t="s">
        <v>336</v>
      </c>
    </row>
    <row r="390" spans="1:21" ht="60" customHeight="1" x14ac:dyDescent="0.2">
      <c r="A390" s="1469" t="s">
        <v>799</v>
      </c>
      <c r="B390" s="1462"/>
      <c r="C390" s="1462"/>
      <c r="D390" s="1462"/>
      <c r="E390" s="1462"/>
      <c r="F390" s="1462"/>
      <c r="G390" s="1462"/>
    </row>
    <row r="392" spans="1:21" x14ac:dyDescent="0.2">
      <c r="A392" s="813" t="s">
        <v>728</v>
      </c>
    </row>
    <row r="393" spans="1:21" ht="15.75" thickBot="1" x14ac:dyDescent="0.25">
      <c r="B393"/>
      <c r="C393"/>
    </row>
    <row r="394" spans="1:21" x14ac:dyDescent="0.2">
      <c r="B394" s="1470" t="s">
        <v>356</v>
      </c>
      <c r="C394" s="1471"/>
      <c r="D394" s="1470" t="s">
        <v>720</v>
      </c>
      <c r="E394" s="1471"/>
    </row>
    <row r="395" spans="1:21" x14ac:dyDescent="0.2">
      <c r="B395" s="855" t="s">
        <v>800</v>
      </c>
      <c r="C395" s="854">
        <f>-(SUMIFS('Liste prévisionnel'!E:E,'Liste prévisionnel'!J:J,B389,'Liste prévisionnel'!G:G,O395,'Liste prévisionnel'!E:E,"&lt;0"))</f>
        <v>0</v>
      </c>
      <c r="D395" s="856" t="s">
        <v>801</v>
      </c>
      <c r="E395" s="854">
        <f>SUMIFS('Liste prévisionnel'!E:E,'Liste prévisionnel'!J:J,B389,'Liste prévisionnel'!G:G,U395,'Liste prévisionnel'!E:E,"&gt;0")</f>
        <v>0</v>
      </c>
      <c r="O395" s="850" t="s">
        <v>408</v>
      </c>
      <c r="U395" s="850" t="s">
        <v>336</v>
      </c>
    </row>
    <row r="396" spans="1:21" x14ac:dyDescent="0.2">
      <c r="B396" s="855"/>
      <c r="C396" s="854"/>
      <c r="D396" s="856"/>
      <c r="E396" s="854"/>
      <c r="F396"/>
      <c r="G396"/>
      <c r="O396" s="850"/>
    </row>
    <row r="397" spans="1:21" x14ac:dyDescent="0.2">
      <c r="B397" s="855"/>
      <c r="C397" s="854"/>
      <c r="D397" s="856"/>
      <c r="E397" s="854"/>
      <c r="F397"/>
      <c r="G397"/>
      <c r="O397" s="850"/>
    </row>
    <row r="398" spans="1:21" ht="15.75" thickBot="1" x14ac:dyDescent="0.25">
      <c r="B398" s="861" t="s">
        <v>769</v>
      </c>
      <c r="C398" s="860">
        <f>SUM(C395:C397)</f>
        <v>0</v>
      </c>
      <c r="D398" s="862" t="s">
        <v>770</v>
      </c>
      <c r="E398" s="860">
        <f>SUM(E395:E397)</f>
        <v>0</v>
      </c>
      <c r="F398"/>
      <c r="G398"/>
    </row>
    <row r="399" spans="1:21" ht="15.75" thickBot="1" x14ac:dyDescent="0.25">
      <c r="B399" s="852"/>
      <c r="C399" s="851"/>
      <c r="D399" s="851"/>
      <c r="E399" s="851"/>
      <c r="F399"/>
      <c r="G399"/>
    </row>
    <row r="400" spans="1:21" ht="15.75" thickBot="1" x14ac:dyDescent="0.25">
      <c r="B400" s="852"/>
      <c r="C400" s="863" t="s">
        <v>731</v>
      </c>
      <c r="D400" s="864">
        <f>E398-C398</f>
        <v>0</v>
      </c>
      <c r="E400" s="851"/>
      <c r="F400"/>
      <c r="G400"/>
    </row>
    <row r="401" spans="1:7" x14ac:dyDescent="0.2">
      <c r="B401" s="806"/>
      <c r="C401" s="845"/>
      <c r="D401" s="845"/>
      <c r="E401" s="845"/>
      <c r="F401"/>
      <c r="G401"/>
    </row>
    <row r="402" spans="1:7" x14ac:dyDescent="0.2">
      <c r="B402" s="806"/>
      <c r="C402" s="845"/>
      <c r="D402" s="845"/>
      <c r="E402" s="845"/>
      <c r="F402"/>
      <c r="G402"/>
    </row>
    <row r="403" spans="1:7" x14ac:dyDescent="0.2">
      <c r="A403" s="1469" t="s">
        <v>802</v>
      </c>
      <c r="B403" s="1462"/>
      <c r="C403" s="1462"/>
      <c r="D403" s="1462"/>
      <c r="E403" s="1462"/>
      <c r="F403" s="1462"/>
      <c r="G403" s="1462"/>
    </row>
    <row r="404" spans="1:7" x14ac:dyDescent="0.2">
      <c r="A404" s="1462"/>
      <c r="B404" s="1462"/>
      <c r="C404" s="1462"/>
      <c r="D404" s="1462"/>
      <c r="E404" s="1462"/>
      <c r="F404" s="1462"/>
      <c r="G404" s="1462"/>
    </row>
    <row r="405" spans="1:7" ht="73.5" customHeight="1" x14ac:dyDescent="0.2">
      <c r="A405" s="1462"/>
      <c r="B405" s="1462"/>
      <c r="C405" s="1462"/>
      <c r="D405" s="1462"/>
      <c r="E405" s="1462"/>
      <c r="F405" s="1462"/>
      <c r="G405" s="1462"/>
    </row>
    <row r="407" spans="1:7" ht="19.5" x14ac:dyDescent="0.2">
      <c r="A407" s="1475" t="s">
        <v>335</v>
      </c>
      <c r="B407" s="1475"/>
      <c r="C407" s="1475"/>
      <c r="D407" s="1475"/>
      <c r="E407" s="1475"/>
      <c r="F407" s="1475"/>
      <c r="G407" s="1475"/>
    </row>
    <row r="409" spans="1:7" ht="15.75" x14ac:dyDescent="0.2">
      <c r="A409" s="816" t="s">
        <v>787</v>
      </c>
    </row>
    <row r="411" spans="1:7" ht="24.75" x14ac:dyDescent="0.2">
      <c r="B411" s="1468" t="s">
        <v>803</v>
      </c>
      <c r="C411" s="1468"/>
      <c r="D411" s="1468"/>
      <c r="E411" s="1468"/>
      <c r="F411" s="1468"/>
      <c r="G411" s="1468"/>
    </row>
    <row r="412" spans="1:7" x14ac:dyDescent="0.2">
      <c r="B412" s="867" t="s">
        <v>333</v>
      </c>
    </row>
    <row r="413" spans="1:7" ht="87" customHeight="1" x14ac:dyDescent="0.2">
      <c r="A413" s="1469" t="s">
        <v>804</v>
      </c>
      <c r="B413" s="1462"/>
      <c r="C413" s="1462"/>
      <c r="D413" s="1462"/>
      <c r="E413" s="1462"/>
      <c r="F413" s="1462"/>
      <c r="G413" s="1462"/>
    </row>
    <row r="414" spans="1:7" x14ac:dyDescent="0.2">
      <c r="A414" s="846"/>
      <c r="B414" s="846"/>
      <c r="C414" s="846"/>
      <c r="D414" s="846"/>
      <c r="E414" s="846"/>
      <c r="F414" s="846"/>
      <c r="G414" s="846"/>
    </row>
    <row r="415" spans="1:7" x14ac:dyDescent="0.2">
      <c r="A415" s="813" t="s">
        <v>805</v>
      </c>
    </row>
    <row r="416" spans="1:7" ht="15.75" thickBot="1" x14ac:dyDescent="0.25">
      <c r="B416"/>
      <c r="C416"/>
    </row>
    <row r="417" spans="1:21" x14ac:dyDescent="0.2">
      <c r="B417" s="1470" t="s">
        <v>356</v>
      </c>
      <c r="C417" s="1471"/>
      <c r="D417" s="1470" t="s">
        <v>720</v>
      </c>
      <c r="E417" s="1471"/>
    </row>
    <row r="418" spans="1:21" x14ac:dyDescent="0.2">
      <c r="B418" s="855" t="s">
        <v>229</v>
      </c>
      <c r="C418" s="854">
        <f>-(SUMIFS('Liste prévisionnel'!E:E,'Liste prévisionnel'!J:J,B412,'Liste prévisionnel'!G:G,O418,'Liste prévisionnel'!E:E,"&lt;0"))</f>
        <v>733.55</v>
      </c>
      <c r="D418" s="856" t="s">
        <v>169</v>
      </c>
      <c r="E418" s="854">
        <f>SUMIFS('Liste prévisionnel'!E:E,'Liste prévisionnel'!J:J,B412,'Liste prévisionnel'!G:G,U418,'Liste prévisionnel'!E:E,"&gt;0")</f>
        <v>1750</v>
      </c>
      <c r="O418" s="850" t="s">
        <v>229</v>
      </c>
      <c r="U418" s="850" t="s">
        <v>169</v>
      </c>
    </row>
    <row r="419" spans="1:21" x14ac:dyDescent="0.2">
      <c r="B419" s="855" t="s">
        <v>216</v>
      </c>
      <c r="C419" s="854">
        <f>-(SUMIFS('Liste prévisionnel'!E:E,'Liste prévisionnel'!J:J,B412,'Liste prévisionnel'!G:G,O419,'Liste prévisionnel'!E:E,"&lt;0"))</f>
        <v>500</v>
      </c>
      <c r="D419" s="856"/>
      <c r="E419" s="854"/>
      <c r="F419"/>
      <c r="G419"/>
      <c r="O419" s="850" t="s">
        <v>216</v>
      </c>
    </row>
    <row r="420" spans="1:21" x14ac:dyDescent="0.2">
      <c r="B420" s="855"/>
      <c r="C420" s="854"/>
      <c r="D420" s="856"/>
      <c r="E420" s="854"/>
      <c r="F420"/>
      <c r="G420"/>
      <c r="O420" s="850"/>
    </row>
    <row r="421" spans="1:21" ht="15.75" thickBot="1" x14ac:dyDescent="0.25">
      <c r="B421" s="861" t="s">
        <v>769</v>
      </c>
      <c r="C421" s="860">
        <f>SUM(C418:C420)</f>
        <v>1233.55</v>
      </c>
      <c r="D421" s="862" t="s">
        <v>770</v>
      </c>
      <c r="E421" s="860">
        <f>SUM(E418:E420)</f>
        <v>1750</v>
      </c>
      <c r="F421"/>
      <c r="G421"/>
    </row>
    <row r="422" spans="1:21" ht="15.75" thickBot="1" x14ac:dyDescent="0.25">
      <c r="B422" s="852"/>
      <c r="C422" s="851"/>
      <c r="D422" s="851"/>
      <c r="E422" s="851"/>
      <c r="F422"/>
      <c r="G422"/>
    </row>
    <row r="423" spans="1:21" ht="15.75" thickBot="1" x14ac:dyDescent="0.25">
      <c r="B423" s="852"/>
      <c r="C423" s="863" t="s">
        <v>731</v>
      </c>
      <c r="D423" s="864">
        <f>E421-C421</f>
        <v>516.45000000000005</v>
      </c>
      <c r="E423" s="851"/>
      <c r="F423"/>
      <c r="G423"/>
    </row>
    <row r="424" spans="1:21" x14ac:dyDescent="0.2">
      <c r="B424" s="806"/>
      <c r="C424" s="845"/>
      <c r="D424" s="845"/>
      <c r="E424" s="845"/>
      <c r="F424"/>
      <c r="G424"/>
    </row>
    <row r="426" spans="1:21" x14ac:dyDescent="0.2">
      <c r="A426" s="813" t="s">
        <v>806</v>
      </c>
    </row>
    <row r="427" spans="1:21" ht="15.75" thickBot="1" x14ac:dyDescent="0.25">
      <c r="B427"/>
      <c r="C427"/>
    </row>
    <row r="428" spans="1:21" x14ac:dyDescent="0.2">
      <c r="B428" s="1470" t="s">
        <v>356</v>
      </c>
      <c r="C428" s="1471"/>
      <c r="D428" s="1470" t="s">
        <v>720</v>
      </c>
      <c r="E428" s="1471"/>
    </row>
    <row r="429" spans="1:21" x14ac:dyDescent="0.2">
      <c r="B429" s="855" t="s">
        <v>229</v>
      </c>
      <c r="C429" s="854">
        <f>-(SUMIFS('Liste prévisionnel'!E:E,'Liste prévisionnel'!J:J,#REF!,'Liste prévisionnel'!G:G,O429,'Liste prévisionnel'!E:E,"&lt;0"))</f>
        <v>0</v>
      </c>
      <c r="D429" s="856" t="s">
        <v>169</v>
      </c>
      <c r="E429" s="854">
        <f>SUMIFS('Liste prévisionnel'!E:E,'Liste prévisionnel'!J:J,#REF!,'Liste prévisionnel'!G:G,U429,'Liste prévisionnel'!E:E,"&gt;0")</f>
        <v>0</v>
      </c>
      <c r="O429" s="850" t="s">
        <v>229</v>
      </c>
      <c r="U429" s="850" t="s">
        <v>169</v>
      </c>
    </row>
    <row r="430" spans="1:21" x14ac:dyDescent="0.2">
      <c r="B430" s="855" t="s">
        <v>216</v>
      </c>
      <c r="C430" s="854">
        <f>-(SUMIFS('Liste prévisionnel'!E:E,'Liste prévisionnel'!J:J,#REF!,'Liste prévisionnel'!G:G,O430,'Liste prévisionnel'!E:E,"&lt;0"))</f>
        <v>0</v>
      </c>
      <c r="D430" s="856"/>
      <c r="E430" s="854"/>
      <c r="F430"/>
      <c r="G430"/>
      <c r="O430" s="850" t="s">
        <v>216</v>
      </c>
    </row>
    <row r="431" spans="1:21" x14ac:dyDescent="0.2">
      <c r="B431" s="855" t="s">
        <v>418</v>
      </c>
      <c r="C431" s="854">
        <f>-(SUMIFS('Liste prévisionnel'!E:E,'Liste prévisionnel'!J:J,#REF!,'Liste prévisionnel'!G:G,O431,'Liste prévisionnel'!E:E,"&lt;0"))</f>
        <v>0</v>
      </c>
      <c r="D431" s="856"/>
      <c r="E431" s="854"/>
      <c r="F431"/>
      <c r="G431"/>
      <c r="O431" s="850" t="s">
        <v>418</v>
      </c>
    </row>
    <row r="432" spans="1:21" x14ac:dyDescent="0.2">
      <c r="B432" s="855"/>
      <c r="C432" s="854"/>
      <c r="D432" s="856"/>
      <c r="E432" s="854"/>
      <c r="F432"/>
      <c r="G432"/>
    </row>
    <row r="433" spans="1:7" ht="15.75" thickBot="1" x14ac:dyDescent="0.25">
      <c r="B433" s="861" t="s">
        <v>769</v>
      </c>
      <c r="C433" s="860">
        <f>SUM(C429:C431)</f>
        <v>0</v>
      </c>
      <c r="D433" s="862" t="s">
        <v>770</v>
      </c>
      <c r="E433" s="860">
        <f>SUM(E429:E431)</f>
        <v>0</v>
      </c>
      <c r="F433"/>
      <c r="G433"/>
    </row>
    <row r="434" spans="1:7" ht="15.75" thickBot="1" x14ac:dyDescent="0.25">
      <c r="B434" s="852"/>
      <c r="C434" s="851"/>
      <c r="D434" s="851"/>
      <c r="E434" s="851"/>
      <c r="F434"/>
      <c r="G434"/>
    </row>
    <row r="435" spans="1:7" ht="15.75" thickBot="1" x14ac:dyDescent="0.25">
      <c r="B435" s="852"/>
      <c r="C435" s="863" t="s">
        <v>731</v>
      </c>
      <c r="D435" s="864">
        <f>E433-C433</f>
        <v>0</v>
      </c>
      <c r="E435" s="851"/>
      <c r="F435"/>
      <c r="G435"/>
    </row>
    <row r="436" spans="1:7" x14ac:dyDescent="0.2">
      <c r="B436" s="806"/>
      <c r="C436" s="845"/>
      <c r="D436" s="845"/>
      <c r="E436" s="845"/>
      <c r="F436"/>
      <c r="G436"/>
    </row>
    <row r="437" spans="1:7" x14ac:dyDescent="0.2">
      <c r="A437" s="1469" t="s">
        <v>807</v>
      </c>
      <c r="B437" s="1462"/>
      <c r="C437" s="1462"/>
      <c r="D437" s="1462"/>
      <c r="E437" s="1462"/>
      <c r="F437" s="1462"/>
      <c r="G437" s="1462"/>
    </row>
    <row r="438" spans="1:7" x14ac:dyDescent="0.2">
      <c r="A438" s="1462"/>
      <c r="B438" s="1462"/>
      <c r="C438" s="1462"/>
      <c r="D438" s="1462"/>
      <c r="E438" s="1462"/>
      <c r="F438" s="1462"/>
      <c r="G438" s="1462"/>
    </row>
    <row r="439" spans="1:7" ht="45" customHeight="1" x14ac:dyDescent="0.2">
      <c r="A439" s="1462"/>
      <c r="B439" s="1462"/>
      <c r="C439" s="1462"/>
      <c r="D439" s="1462"/>
      <c r="E439" s="1462"/>
      <c r="F439" s="1462"/>
      <c r="G439" s="1462"/>
    </row>
  </sheetData>
  <mergeCells count="92">
    <mergeCell ref="B107:C107"/>
    <mergeCell ref="D107:E107"/>
    <mergeCell ref="B119:C119"/>
    <mergeCell ref="D119:E119"/>
    <mergeCell ref="B117:E117"/>
    <mergeCell ref="B428:C428"/>
    <mergeCell ref="D428:E428"/>
    <mergeCell ref="A437:G439"/>
    <mergeCell ref="B11:C11"/>
    <mergeCell ref="D11:E11"/>
    <mergeCell ref="B32:C32"/>
    <mergeCell ref="D32:E32"/>
    <mergeCell ref="B56:C56"/>
    <mergeCell ref="D56:E56"/>
    <mergeCell ref="A407:G407"/>
    <mergeCell ref="B411:G411"/>
    <mergeCell ref="A413:G413"/>
    <mergeCell ref="B417:C417"/>
    <mergeCell ref="D417:E417"/>
    <mergeCell ref="A384:G384"/>
    <mergeCell ref="A390:G390"/>
    <mergeCell ref="B394:C394"/>
    <mergeCell ref="D394:E394"/>
    <mergeCell ref="A403:G405"/>
    <mergeCell ref="B388:G388"/>
    <mergeCell ref="B360:D360"/>
    <mergeCell ref="A362:G362"/>
    <mergeCell ref="B366:C366"/>
    <mergeCell ref="D366:E366"/>
    <mergeCell ref="A378:G380"/>
    <mergeCell ref="A356:G358"/>
    <mergeCell ref="A295:G295"/>
    <mergeCell ref="B299:D299"/>
    <mergeCell ref="A301:G301"/>
    <mergeCell ref="B305:C305"/>
    <mergeCell ref="D305:E305"/>
    <mergeCell ref="A323:G332"/>
    <mergeCell ref="A334:G334"/>
    <mergeCell ref="B338:D338"/>
    <mergeCell ref="A340:G340"/>
    <mergeCell ref="B344:C344"/>
    <mergeCell ref="D344:E344"/>
    <mergeCell ref="A248:G248"/>
    <mergeCell ref="B252:D252"/>
    <mergeCell ref="A254:G254"/>
    <mergeCell ref="B258:C258"/>
    <mergeCell ref="D258:E258"/>
    <mergeCell ref="A290:G292"/>
    <mergeCell ref="A271:G271"/>
    <mergeCell ref="B275:C275"/>
    <mergeCell ref="D275:E275"/>
    <mergeCell ref="B287:C287"/>
    <mergeCell ref="A190:G190"/>
    <mergeCell ref="A186:G188"/>
    <mergeCell ref="B194:D194"/>
    <mergeCell ref="A196:G196"/>
    <mergeCell ref="A244:G246"/>
    <mergeCell ref="B200:C200"/>
    <mergeCell ref="D200:E200"/>
    <mergeCell ref="A222:G222"/>
    <mergeCell ref="B226:C226"/>
    <mergeCell ref="D226:E226"/>
    <mergeCell ref="A143:G143"/>
    <mergeCell ref="B147:D147"/>
    <mergeCell ref="A149:G149"/>
    <mergeCell ref="A131:G137"/>
    <mergeCell ref="B153:C153"/>
    <mergeCell ref="D153:E153"/>
    <mergeCell ref="A68:G70"/>
    <mergeCell ref="A95:G95"/>
    <mergeCell ref="A101:G101"/>
    <mergeCell ref="B72:D72"/>
    <mergeCell ref="A74:G74"/>
    <mergeCell ref="A88:G90"/>
    <mergeCell ref="B99:E99"/>
    <mergeCell ref="B78:C78"/>
    <mergeCell ref="D78:E78"/>
    <mergeCell ref="A52:G52"/>
    <mergeCell ref="A7:G7"/>
    <mergeCell ref="A23:G25"/>
    <mergeCell ref="H7:N7"/>
    <mergeCell ref="H23:N25"/>
    <mergeCell ref="A44:G44"/>
    <mergeCell ref="A41:G43"/>
    <mergeCell ref="B27:D27"/>
    <mergeCell ref="A29:G29"/>
    <mergeCell ref="A46:G46"/>
    <mergeCell ref="B5:D5"/>
    <mergeCell ref="A1:G1"/>
    <mergeCell ref="H1:N1"/>
    <mergeCell ref="I5:K5"/>
    <mergeCell ref="B50:D50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D1212B-F579-4E7E-B5E4-427867474AB4}">
          <x14:formula1>
            <xm:f>'Rapport 3 - balance analytique'!$R$13:$R$1048576</xm:f>
          </x14:formula1>
          <xm:sqref>B221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0"/>
  </sheetPr>
  <dimension ref="A2:HA77"/>
  <sheetViews>
    <sheetView workbookViewId="0">
      <selection sqref="A1:N4"/>
    </sheetView>
  </sheetViews>
  <sheetFormatPr defaultColWidth="17.140625" defaultRowHeight="15" x14ac:dyDescent="0.2"/>
  <cols>
    <col min="1" max="16384" width="17.140625" style="813"/>
  </cols>
  <sheetData>
    <row r="2" spans="1:5" x14ac:dyDescent="0.2">
      <c r="A2" s="813" t="s">
        <v>808</v>
      </c>
    </row>
    <row r="3" spans="1:5" ht="15" customHeight="1" x14ac:dyDescent="0.2"/>
    <row r="5" spans="1:5" x14ac:dyDescent="0.2">
      <c r="A5" s="1476" t="s">
        <v>809</v>
      </c>
      <c r="B5" s="1476"/>
      <c r="C5" s="813" t="s">
        <v>810</v>
      </c>
      <c r="D5" s="813" t="s">
        <v>811</v>
      </c>
      <c r="E5" s="813" t="s">
        <v>812</v>
      </c>
    </row>
    <row r="6" spans="1:5" x14ac:dyDescent="0.2">
      <c r="A6" s="1476" t="s">
        <v>813</v>
      </c>
      <c r="B6" s="1476"/>
      <c r="C6" s="586">
        <v>1</v>
      </c>
      <c r="D6" s="586">
        <v>2</v>
      </c>
      <c r="E6" s="586">
        <f>D6-C6</f>
        <v>1</v>
      </c>
    </row>
    <row r="7" spans="1:5" x14ac:dyDescent="0.2">
      <c r="A7" s="1476" t="s">
        <v>814</v>
      </c>
      <c r="B7" s="1476"/>
      <c r="C7" s="586">
        <v>1</v>
      </c>
      <c r="D7" s="586">
        <v>2</v>
      </c>
      <c r="E7" s="586">
        <f>D7-C7</f>
        <v>1</v>
      </c>
    </row>
    <row r="8" spans="1:5" x14ac:dyDescent="0.2">
      <c r="A8" s="1476"/>
      <c r="B8" s="1476"/>
      <c r="C8" s="586"/>
      <c r="D8" s="586"/>
      <c r="E8" s="586"/>
    </row>
    <row r="9" spans="1:5" x14ac:dyDescent="0.2">
      <c r="A9" s="1476" t="s">
        <v>815</v>
      </c>
      <c r="B9" s="1476"/>
      <c r="C9" s="586">
        <v>0</v>
      </c>
      <c r="D9" s="586"/>
      <c r="E9" s="586"/>
    </row>
    <row r="10" spans="1:5" x14ac:dyDescent="0.2">
      <c r="A10" s="1476" t="s">
        <v>816</v>
      </c>
      <c r="B10" s="1476"/>
      <c r="C10" s="586">
        <v>0</v>
      </c>
      <c r="D10" s="586"/>
      <c r="E10" s="586"/>
    </row>
    <row r="11" spans="1:5" x14ac:dyDescent="0.2">
      <c r="C11" s="586"/>
      <c r="D11" s="586"/>
      <c r="E11" s="586"/>
    </row>
    <row r="12" spans="1:5" x14ac:dyDescent="0.2">
      <c r="B12" s="813" t="s">
        <v>817</v>
      </c>
      <c r="C12" s="586">
        <f>D6+D7</f>
        <v>4</v>
      </c>
      <c r="D12" s="586"/>
      <c r="E12" s="586"/>
    </row>
    <row r="13" spans="1:5" x14ac:dyDescent="0.2">
      <c r="B13" s="813" t="s">
        <v>818</v>
      </c>
      <c r="C13" s="586">
        <f>C12+C10-C9</f>
        <v>4</v>
      </c>
      <c r="D13" s="586"/>
      <c r="E13" s="586"/>
    </row>
    <row r="16" spans="1:5" x14ac:dyDescent="0.2">
      <c r="A16" s="813" t="s">
        <v>819</v>
      </c>
    </row>
    <row r="18" spans="1:10" x14ac:dyDescent="0.2">
      <c r="A18" s="813" t="s">
        <v>820</v>
      </c>
    </row>
    <row r="19" spans="1:10" s="842" customFormat="1" ht="20.25" x14ac:dyDescent="0.2">
      <c r="A19" s="813"/>
      <c r="B19" s="813"/>
      <c r="C19" s="813"/>
      <c r="D19" s="813"/>
      <c r="E19" s="813"/>
      <c r="F19" s="813"/>
      <c r="G19" s="813"/>
      <c r="H19" s="813"/>
      <c r="I19" s="813"/>
      <c r="J19" s="813"/>
    </row>
    <row r="32" spans="1:10" s="842" customFormat="1" ht="20.25" x14ac:dyDescent="0.2">
      <c r="A32" s="813"/>
      <c r="B32" s="813"/>
      <c r="C32" s="813"/>
      <c r="D32" s="813"/>
      <c r="E32" s="813"/>
      <c r="F32" s="813"/>
      <c r="G32" s="813"/>
      <c r="H32" s="813"/>
      <c r="I32" s="813"/>
      <c r="J32" s="813"/>
    </row>
    <row r="51" spans="12:14" ht="25.5" customHeight="1" x14ac:dyDescent="0.2"/>
    <row r="54" spans="12:14" x14ac:dyDescent="0.2">
      <c r="L54" s="1452"/>
      <c r="M54" s="1452"/>
      <c r="N54" s="1452"/>
    </row>
    <row r="55" spans="12:14" x14ac:dyDescent="0.2">
      <c r="L55" s="1452"/>
      <c r="M55" s="1452"/>
      <c r="N55" s="1452"/>
    </row>
    <row r="56" spans="12:14" x14ac:dyDescent="0.2">
      <c r="L56" s="1452"/>
      <c r="M56" s="1452"/>
      <c r="N56" s="1452"/>
    </row>
    <row r="57" spans="12:14" ht="35.25" customHeight="1" x14ac:dyDescent="0.2">
      <c r="L57" s="1452"/>
      <c r="M57" s="1452"/>
      <c r="N57" s="1452"/>
    </row>
    <row r="65" spans="11:209" x14ac:dyDescent="0.2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</row>
    <row r="66" spans="11:209" x14ac:dyDescent="0.2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</row>
    <row r="67" spans="11:209" x14ac:dyDescent="0.2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</row>
    <row r="68" spans="11:209" x14ac:dyDescent="0.2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</row>
    <row r="69" spans="11:209" x14ac:dyDescent="0.2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</row>
    <row r="70" spans="11:209" x14ac:dyDescent="0.2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</row>
    <row r="71" spans="11:209" x14ac:dyDescent="0.2"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</row>
    <row r="72" spans="11:209" x14ac:dyDescent="0.2"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</row>
    <row r="73" spans="11:209" x14ac:dyDescent="0.2"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</row>
    <row r="74" spans="11:209" x14ac:dyDescent="0.2"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</row>
    <row r="75" spans="11:209" x14ac:dyDescent="0.2"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</row>
    <row r="76" spans="11:209" x14ac:dyDescent="0.2"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</row>
    <row r="77" spans="11:209" x14ac:dyDescent="0.2"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</row>
  </sheetData>
  <mergeCells count="10">
    <mergeCell ref="L56:N56"/>
    <mergeCell ref="L57:N57"/>
    <mergeCell ref="A5:B5"/>
    <mergeCell ref="A6:B6"/>
    <mergeCell ref="A7:B7"/>
    <mergeCell ref="A8:B8"/>
    <mergeCell ref="A9:B9"/>
    <mergeCell ref="A10:B10"/>
    <mergeCell ref="L54:N54"/>
    <mergeCell ref="L55:N55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1"/>
  <sheetViews>
    <sheetView workbookViewId="0"/>
  </sheetViews>
  <sheetFormatPr defaultColWidth="11.42578125" defaultRowHeight="12" x14ac:dyDescent="0.2"/>
  <sheetData>
    <row r="1" spans="1:6" x14ac:dyDescent="0.2">
      <c r="A1" t="s">
        <v>821</v>
      </c>
    </row>
    <row r="2" spans="1:6" x14ac:dyDescent="0.2">
      <c r="B2" t="s">
        <v>104</v>
      </c>
      <c r="C2" t="s">
        <v>105</v>
      </c>
    </row>
    <row r="3" spans="1:6" x14ac:dyDescent="0.2">
      <c r="A3" s="912" t="s">
        <v>106</v>
      </c>
      <c r="B3">
        <f>'BP BAFA Base'!F15+'BP BAFA Appro'!F15</f>
        <v>1785</v>
      </c>
      <c r="D3">
        <f>B3/2</f>
        <v>892.5</v>
      </c>
    </row>
    <row r="4" spans="1:6" x14ac:dyDescent="0.2">
      <c r="A4" s="912" t="s">
        <v>107</v>
      </c>
      <c r="B4">
        <f>'BP BAFA Appro'!F16+'BP BAFA Appro'!F17+'BP BAFA Base'!F16+'BP BAFA Base'!F17</f>
        <v>355</v>
      </c>
      <c r="D4">
        <f t="shared" ref="D4:D7" si="0">B4/2</f>
        <v>177.5</v>
      </c>
    </row>
    <row r="5" spans="1:6" x14ac:dyDescent="0.2">
      <c r="A5" s="912" t="s">
        <v>108</v>
      </c>
      <c r="B5">
        <f>'BP BAFA Appro'!F19+'BP BAFA Base'!F19</f>
        <v>100</v>
      </c>
      <c r="D5">
        <f t="shared" si="0"/>
        <v>50</v>
      </c>
    </row>
    <row r="6" spans="1:6" x14ac:dyDescent="0.2">
      <c r="A6" s="912" t="s">
        <v>109</v>
      </c>
      <c r="B6">
        <f>'BP BAFA Appro'!F25+'BP BAFA Base'!F25</f>
        <v>5600</v>
      </c>
      <c r="D6">
        <f t="shared" si="0"/>
        <v>2800</v>
      </c>
    </row>
    <row r="7" spans="1:6" ht="12.75" thickBot="1" x14ac:dyDescent="0.25">
      <c r="A7" s="912" t="s">
        <v>138</v>
      </c>
      <c r="B7">
        <f>+'BP BAFA Appro'!F26+'BP BAFA Base'!F26</f>
        <v>200</v>
      </c>
      <c r="D7">
        <f t="shared" si="0"/>
        <v>100</v>
      </c>
    </row>
    <row r="8" spans="1:6" x14ac:dyDescent="0.2">
      <c r="A8" s="25" t="s">
        <v>53</v>
      </c>
      <c r="C8" cm="1">
        <f t="array" ref="C8:F8">'BP BAFA Appro'!K5*'BP BAFA Appro'!C6:F6+'BP BAFA Base'!C6:F6*'BP BAFA Base'!K5</f>
        <v>2775</v>
      </c>
      <c r="D8">
        <v>0</v>
      </c>
      <c r="E8">
        <v>0</v>
      </c>
      <c r="F8">
        <v>0</v>
      </c>
    </row>
    <row r="9" spans="1:6" x14ac:dyDescent="0.2">
      <c r="A9" s="912" t="s">
        <v>54</v>
      </c>
      <c r="C9">
        <f>'BP BAFA Appro'!F38-'BP BAFA Appro'!F33+'BP BAFA Base'!F38-'BP BAFA Base'!F33-C8</f>
        <v>5775</v>
      </c>
    </row>
    <row r="10" spans="1:6" x14ac:dyDescent="0.2">
      <c r="D10">
        <f>C8/2</f>
        <v>1387.5</v>
      </c>
    </row>
    <row r="11" spans="1:6" x14ac:dyDescent="0.2">
      <c r="D11">
        <f>C9/2</f>
        <v>2887.5</v>
      </c>
    </row>
  </sheetData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M44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00" customWidth="1"/>
    <col min="3" max="4" width="5.42578125" style="500" customWidth="1"/>
    <col min="5" max="5" width="12" style="500" customWidth="1"/>
    <col min="6" max="6" width="15.140625" style="500" customWidth="1"/>
    <col min="7" max="7" width="5.42578125" style="500" customWidth="1"/>
    <col min="8" max="8" width="7.5703125" style="500" customWidth="1"/>
    <col min="9" max="9" width="10.28515625" style="500" customWidth="1"/>
    <col min="10" max="11" width="15.140625" style="500" customWidth="1"/>
    <col min="12" max="16384" width="16.5703125" style="500"/>
  </cols>
  <sheetData>
    <row r="1" spans="1:11" ht="25.5" customHeight="1" x14ac:dyDescent="0.35">
      <c r="A1" s="1353" t="s">
        <v>525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1" ht="15" customHeight="1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1" ht="15" x14ac:dyDescent="0.2">
      <c r="A3" s="501" t="s">
        <v>184</v>
      </c>
      <c r="B3" s="502"/>
      <c r="C3" s="1366" t="s">
        <v>332</v>
      </c>
      <c r="D3" s="1367"/>
      <c r="E3" s="1367"/>
      <c r="F3" s="1368"/>
      <c r="G3" s="1369" t="s">
        <v>186</v>
      </c>
      <c r="H3" s="1370"/>
      <c r="I3" s="1371"/>
      <c r="J3" s="1372" t="s">
        <v>187</v>
      </c>
      <c r="K3" s="1373"/>
    </row>
    <row r="4" spans="1:11" ht="15" customHeight="1" x14ac:dyDescent="0.2">
      <c r="A4" s="501" t="s">
        <v>188</v>
      </c>
      <c r="B4" s="502"/>
      <c r="C4" s="1361" t="s">
        <v>526</v>
      </c>
      <c r="D4" s="1362"/>
      <c r="E4" s="1362"/>
      <c r="F4" s="1363"/>
      <c r="G4" s="1364" t="s">
        <v>527</v>
      </c>
      <c r="H4" s="1365"/>
      <c r="I4" s="503">
        <v>1</v>
      </c>
      <c r="J4" s="504" t="s">
        <v>570</v>
      </c>
      <c r="K4" s="505">
        <v>11</v>
      </c>
    </row>
    <row r="5" spans="1:11" ht="15" customHeight="1" x14ac:dyDescent="0.2">
      <c r="A5" s="501" t="s">
        <v>528</v>
      </c>
      <c r="B5" s="502"/>
      <c r="C5" s="1361" t="s">
        <v>571</v>
      </c>
      <c r="D5" s="1362"/>
      <c r="E5" s="1362"/>
      <c r="F5" s="1363"/>
      <c r="G5" s="1364" t="s">
        <v>529</v>
      </c>
      <c r="H5" s="1365"/>
      <c r="I5" s="503">
        <v>3</v>
      </c>
      <c r="J5" s="504" t="s">
        <v>572</v>
      </c>
      <c r="K5" s="505">
        <v>3</v>
      </c>
    </row>
    <row r="6" spans="1:11" ht="15" customHeight="1" x14ac:dyDescent="0.2">
      <c r="A6" s="501" t="s">
        <v>530</v>
      </c>
      <c r="B6" s="502"/>
      <c r="C6" s="1374">
        <v>475</v>
      </c>
      <c r="D6" s="1375"/>
      <c r="E6" s="1375"/>
      <c r="F6" s="1376"/>
      <c r="G6" s="1364" t="s">
        <v>531</v>
      </c>
      <c r="H6" s="1365"/>
      <c r="I6" s="503">
        <v>1</v>
      </c>
      <c r="J6" s="504" t="s">
        <v>197</v>
      </c>
      <c r="K6" s="505"/>
    </row>
    <row r="7" spans="1:11" ht="15" customHeight="1" x14ac:dyDescent="0.2">
      <c r="A7" s="501" t="s">
        <v>198</v>
      </c>
      <c r="B7" s="502"/>
      <c r="C7" s="1377"/>
      <c r="D7" s="1378"/>
      <c r="E7" s="1378"/>
      <c r="F7" s="1379"/>
      <c r="G7" s="1364"/>
      <c r="H7" s="1365"/>
      <c r="I7" s="503"/>
      <c r="J7" s="504" t="s">
        <v>199</v>
      </c>
      <c r="K7" s="505"/>
    </row>
    <row r="8" spans="1:11" ht="15" customHeight="1" x14ac:dyDescent="0.2">
      <c r="A8" s="501" t="s">
        <v>201</v>
      </c>
      <c r="B8" s="502"/>
      <c r="C8" s="1377"/>
      <c r="D8" s="1378"/>
      <c r="E8" s="1378"/>
      <c r="F8" s="1379"/>
      <c r="G8" s="1364"/>
      <c r="H8" s="1365"/>
      <c r="I8" s="503"/>
      <c r="J8" s="506" t="s">
        <v>3</v>
      </c>
      <c r="K8" s="507">
        <f>SUM(K4:K7)</f>
        <v>14</v>
      </c>
    </row>
    <row r="9" spans="1:11" ht="15" customHeight="1" x14ac:dyDescent="0.2">
      <c r="A9" s="501" t="s">
        <v>203</v>
      </c>
      <c r="B9" s="502"/>
      <c r="C9" s="1380">
        <v>8</v>
      </c>
      <c r="D9" s="1381"/>
      <c r="E9" s="1381"/>
      <c r="F9" s="1382"/>
      <c r="G9" s="1364"/>
      <c r="H9" s="1365"/>
      <c r="I9" s="503"/>
      <c r="J9" s="508"/>
      <c r="K9" s="509"/>
    </row>
    <row r="10" spans="1:11" ht="15" customHeight="1" x14ac:dyDescent="0.2">
      <c r="A10" s="501" t="s">
        <v>204</v>
      </c>
      <c r="B10" s="502"/>
      <c r="C10" s="1383">
        <v>12</v>
      </c>
      <c r="D10" s="1384"/>
      <c r="E10" s="1384"/>
      <c r="F10" s="1385"/>
      <c r="G10" s="1386" t="s">
        <v>3</v>
      </c>
      <c r="H10" s="1387"/>
      <c r="I10" s="510">
        <f>SUM(I4:I9)</f>
        <v>5</v>
      </c>
      <c r="J10" s="511" t="s">
        <v>205</v>
      </c>
      <c r="K10" s="512"/>
    </row>
    <row r="11" spans="1:11" thickBot="1" x14ac:dyDescent="0.3">
      <c r="A11" s="513"/>
      <c r="B11" s="513"/>
      <c r="C11" s="513"/>
      <c r="D11" s="513"/>
      <c r="E11" s="513"/>
      <c r="F11" s="513"/>
      <c r="G11" s="513"/>
      <c r="H11" s="513"/>
      <c r="I11" s="513"/>
      <c r="J11" s="513"/>
      <c r="K11" s="513"/>
    </row>
    <row r="12" spans="1:11" ht="15" x14ac:dyDescent="0.2">
      <c r="A12" s="1388" t="s">
        <v>206</v>
      </c>
      <c r="B12" s="1388"/>
      <c r="C12" s="1388"/>
      <c r="D12" s="1388"/>
      <c r="E12" s="1388"/>
      <c r="F12" s="1389"/>
      <c r="G12" s="1390" t="s">
        <v>207</v>
      </c>
      <c r="H12" s="1391"/>
      <c r="I12" s="1391"/>
      <c r="J12" s="1392"/>
      <c r="K12" s="1393"/>
    </row>
    <row r="13" spans="1:11" ht="15" customHeight="1" x14ac:dyDescent="0.25">
      <c r="A13" s="513"/>
      <c r="B13" s="513"/>
      <c r="C13" s="514" t="s">
        <v>208</v>
      </c>
      <c r="D13" s="515" t="s">
        <v>209</v>
      </c>
      <c r="E13" s="516" t="s">
        <v>210</v>
      </c>
      <c r="F13" s="517" t="s">
        <v>211</v>
      </c>
      <c r="G13" s="518" t="s">
        <v>208</v>
      </c>
      <c r="H13" s="515" t="s">
        <v>209</v>
      </c>
      <c r="I13" s="516" t="s">
        <v>210</v>
      </c>
      <c r="J13" s="519" t="s">
        <v>211</v>
      </c>
      <c r="K13" s="1394"/>
    </row>
    <row r="14" spans="1:11" ht="18.75" customHeight="1" x14ac:dyDescent="0.3">
      <c r="A14" s="1395" t="s">
        <v>532</v>
      </c>
      <c r="B14" s="1396"/>
      <c r="C14" s="1397"/>
      <c r="D14" s="1397"/>
      <c r="E14" s="1397"/>
      <c r="F14" s="1397"/>
      <c r="G14" s="1397"/>
      <c r="H14" s="1397"/>
      <c r="I14" s="1397"/>
      <c r="J14" s="1397"/>
      <c r="K14" s="1394"/>
    </row>
    <row r="15" spans="1:11" ht="15" customHeight="1" x14ac:dyDescent="0.2">
      <c r="A15" s="520" t="s">
        <v>215</v>
      </c>
      <c r="B15" s="521" t="s">
        <v>106</v>
      </c>
      <c r="C15" s="514">
        <f>C9</f>
        <v>8</v>
      </c>
      <c r="D15" s="522">
        <f>C10+I10</f>
        <v>17</v>
      </c>
      <c r="E15" s="523">
        <v>7</v>
      </c>
      <c r="F15" s="524">
        <f t="shared" ref="F15:F18" si="0">C15*D15*E15</f>
        <v>952</v>
      </c>
      <c r="G15" s="525">
        <f>$C$9</f>
        <v>8</v>
      </c>
      <c r="H15" s="522"/>
      <c r="I15" s="526"/>
      <c r="J15" s="527"/>
      <c r="K15" s="1394"/>
    </row>
    <row r="16" spans="1:11" ht="15" customHeight="1" x14ac:dyDescent="0.2">
      <c r="A16" s="520" t="s">
        <v>216</v>
      </c>
      <c r="B16" s="521" t="s">
        <v>107</v>
      </c>
      <c r="C16" s="514"/>
      <c r="D16" s="522"/>
      <c r="E16" s="523"/>
      <c r="F16" s="524">
        <v>50</v>
      </c>
      <c r="G16" s="525">
        <f t="shared" ref="G16:G21" si="1">$C$9</f>
        <v>8</v>
      </c>
      <c r="H16" s="522"/>
      <c r="I16" s="526"/>
      <c r="J16" s="528"/>
      <c r="K16" s="1394"/>
    </row>
    <row r="17" spans="1:13" ht="15" customHeight="1" x14ac:dyDescent="0.2">
      <c r="A17" s="520" t="s">
        <v>217</v>
      </c>
      <c r="B17" s="521" t="s">
        <v>120</v>
      </c>
      <c r="C17" s="514">
        <f t="shared" ref="C17:C19" si="2">$C$9</f>
        <v>8</v>
      </c>
      <c r="D17" s="522">
        <f t="shared" ref="D17:D19" si="3">$C$10+$I$10</f>
        <v>17</v>
      </c>
      <c r="E17" s="523">
        <v>1</v>
      </c>
      <c r="F17" s="524">
        <f t="shared" si="0"/>
        <v>136</v>
      </c>
      <c r="G17" s="525">
        <f t="shared" si="1"/>
        <v>8</v>
      </c>
      <c r="H17" s="522"/>
      <c r="I17" s="526"/>
      <c r="J17" s="528"/>
      <c r="K17" s="1394"/>
    </row>
    <row r="18" spans="1:13" ht="15" customHeight="1" x14ac:dyDescent="0.2">
      <c r="A18" s="520" t="s">
        <v>218</v>
      </c>
      <c r="B18" s="521" t="s">
        <v>107</v>
      </c>
      <c r="C18" s="514">
        <f t="shared" si="2"/>
        <v>8</v>
      </c>
      <c r="D18" s="522">
        <f t="shared" si="3"/>
        <v>17</v>
      </c>
      <c r="E18" s="523"/>
      <c r="F18" s="524">
        <f t="shared" si="0"/>
        <v>0</v>
      </c>
      <c r="G18" s="525">
        <f t="shared" si="1"/>
        <v>8</v>
      </c>
      <c r="H18" s="522"/>
      <c r="I18" s="526"/>
      <c r="J18" s="528"/>
      <c r="K18" s="1394"/>
    </row>
    <row r="19" spans="1:13" ht="15" customHeight="1" thickBot="1" x14ac:dyDescent="0.25">
      <c r="A19" s="520" t="s">
        <v>219</v>
      </c>
      <c r="B19" s="521" t="s">
        <v>108</v>
      </c>
      <c r="C19" s="514">
        <f t="shared" si="2"/>
        <v>8</v>
      </c>
      <c r="D19" s="522">
        <f t="shared" si="3"/>
        <v>17</v>
      </c>
      <c r="E19" s="529"/>
      <c r="F19" s="524">
        <v>50</v>
      </c>
      <c r="G19" s="525">
        <f t="shared" si="1"/>
        <v>8</v>
      </c>
      <c r="H19" s="522"/>
      <c r="I19" s="530"/>
      <c r="J19" s="528"/>
      <c r="K19" s="1394"/>
    </row>
    <row r="20" spans="1:13" ht="15" customHeight="1" x14ac:dyDescent="0.2">
      <c r="A20" s="520" t="s">
        <v>220</v>
      </c>
      <c r="B20" s="531" t="s">
        <v>116</v>
      </c>
      <c r="C20" s="514">
        <v>8</v>
      </c>
      <c r="D20" s="522">
        <f>C10</f>
        <v>12</v>
      </c>
      <c r="E20" s="523"/>
      <c r="F20" s="524">
        <f t="shared" ref="F20:F21" si="4">C20*D20*E20</f>
        <v>0</v>
      </c>
      <c r="G20" s="525">
        <f t="shared" si="1"/>
        <v>8</v>
      </c>
      <c r="H20" s="522"/>
      <c r="I20" s="526"/>
      <c r="J20" s="528"/>
      <c r="K20" s="1394"/>
    </row>
    <row r="21" spans="1:13" ht="15" customHeight="1" x14ac:dyDescent="0.2">
      <c r="A21" s="520" t="s">
        <v>221</v>
      </c>
      <c r="B21" s="521" t="s">
        <v>110</v>
      </c>
      <c r="C21" s="514">
        <f>C9</f>
        <v>8</v>
      </c>
      <c r="D21" s="522">
        <f>C10+I10</f>
        <v>17</v>
      </c>
      <c r="E21" s="523"/>
      <c r="F21" s="524">
        <f t="shared" si="4"/>
        <v>0</v>
      </c>
      <c r="G21" s="525">
        <f t="shared" si="1"/>
        <v>8</v>
      </c>
      <c r="H21" s="522"/>
      <c r="I21" s="526"/>
      <c r="J21" s="528"/>
      <c r="K21" s="1394"/>
    </row>
    <row r="22" spans="1:13" ht="15" customHeight="1" x14ac:dyDescent="0.25">
      <c r="A22" s="532" t="s">
        <v>3</v>
      </c>
      <c r="B22" s="533"/>
      <c r="C22" s="534"/>
      <c r="D22" s="535"/>
      <c r="E22" s="536"/>
      <c r="F22" s="537">
        <f>SUM(F15:F21)</f>
        <v>1188</v>
      </c>
      <c r="G22" s="538"/>
      <c r="H22" s="539"/>
      <c r="I22" s="540"/>
      <c r="J22" s="528"/>
      <c r="K22" s="1394"/>
      <c r="M22" s="541"/>
    </row>
    <row r="23" spans="1:13" ht="18.75" customHeight="1" x14ac:dyDescent="0.3">
      <c r="A23" s="1395" t="s">
        <v>223</v>
      </c>
      <c r="B23" s="1396"/>
      <c r="C23" s="1397"/>
      <c r="D23" s="1397"/>
      <c r="E23" s="1397"/>
      <c r="F23" s="1397"/>
      <c r="G23" s="1397"/>
      <c r="H23" s="1397"/>
      <c r="I23" s="1397"/>
      <c r="J23" s="1397"/>
      <c r="K23" s="1394"/>
    </row>
    <row r="24" spans="1:13" ht="18" customHeight="1" x14ac:dyDescent="0.25">
      <c r="A24" s="1398" t="s">
        <v>224</v>
      </c>
      <c r="B24" s="1399"/>
      <c r="C24" s="1355"/>
      <c r="D24" s="1355"/>
      <c r="E24" s="1355"/>
      <c r="F24" s="1355"/>
      <c r="G24" s="1355"/>
      <c r="H24" s="1355"/>
      <c r="I24" s="1355"/>
      <c r="J24" s="1355"/>
      <c r="K24" s="1394"/>
    </row>
    <row r="25" spans="1:13" ht="18" customHeight="1" x14ac:dyDescent="0.2">
      <c r="A25" s="520" t="s">
        <v>533</v>
      </c>
      <c r="B25" s="542"/>
      <c r="C25" s="514">
        <f t="shared" ref="C25" si="5">$C$9</f>
        <v>8</v>
      </c>
      <c r="D25" s="522">
        <v>1</v>
      </c>
      <c r="E25" s="523">
        <v>350</v>
      </c>
      <c r="F25" s="537">
        <f t="shared" ref="F25" si="6">C25*D25*E25</f>
        <v>2800</v>
      </c>
      <c r="G25" s="525">
        <f t="shared" ref="G25:G29" si="7">$C$9</f>
        <v>8</v>
      </c>
      <c r="H25" s="522"/>
      <c r="I25" s="526"/>
      <c r="J25" s="528"/>
      <c r="K25" s="1394"/>
    </row>
    <row r="26" spans="1:13" ht="18" customHeight="1" x14ac:dyDescent="0.2">
      <c r="A26" s="520" t="s">
        <v>822</v>
      </c>
      <c r="B26" s="542"/>
      <c r="C26" s="514"/>
      <c r="D26" s="522"/>
      <c r="E26" s="523"/>
      <c r="F26" s="537">
        <v>100</v>
      </c>
      <c r="G26" s="525">
        <f t="shared" si="7"/>
        <v>8</v>
      </c>
      <c r="H26" s="522"/>
      <c r="I26" s="526"/>
      <c r="J26" s="528"/>
      <c r="K26" s="1394"/>
    </row>
    <row r="27" spans="1:13" ht="18" customHeight="1" x14ac:dyDescent="0.2">
      <c r="A27" s="520"/>
      <c r="B27" s="542"/>
      <c r="C27" s="514"/>
      <c r="D27" s="522"/>
      <c r="E27" s="523"/>
      <c r="F27" s="537"/>
      <c r="G27" s="525">
        <f t="shared" si="7"/>
        <v>8</v>
      </c>
      <c r="H27" s="522"/>
      <c r="I27" s="526"/>
      <c r="J27" s="528"/>
      <c r="K27" s="1394"/>
    </row>
    <row r="28" spans="1:13" ht="18" customHeight="1" x14ac:dyDescent="0.2">
      <c r="A28" s="520"/>
      <c r="B28" s="542"/>
      <c r="C28" s="514"/>
      <c r="D28" s="522"/>
      <c r="E28" s="523"/>
      <c r="F28" s="537"/>
      <c r="G28" s="525">
        <f t="shared" si="7"/>
        <v>8</v>
      </c>
      <c r="H28" s="522"/>
      <c r="I28" s="526"/>
      <c r="J28" s="528"/>
      <c r="K28" s="1394"/>
    </row>
    <row r="29" spans="1:13" ht="18" customHeight="1" x14ac:dyDescent="0.2">
      <c r="A29" s="520"/>
      <c r="B29" s="542"/>
      <c r="C29" s="514"/>
      <c r="D29" s="522"/>
      <c r="E29" s="523"/>
      <c r="F29" s="537"/>
      <c r="G29" s="525">
        <f t="shared" si="7"/>
        <v>8</v>
      </c>
      <c r="H29" s="522"/>
      <c r="I29" s="526"/>
      <c r="J29" s="528"/>
      <c r="K29" s="1394"/>
    </row>
    <row r="30" spans="1:13" ht="15" customHeight="1" x14ac:dyDescent="0.25">
      <c r="A30" s="547" t="s">
        <v>3</v>
      </c>
      <c r="B30" s="548"/>
      <c r="C30" s="543"/>
      <c r="D30" s="544"/>
      <c r="E30" s="549"/>
      <c r="F30" s="537">
        <f>F25+F26</f>
        <v>2900</v>
      </c>
      <c r="G30" s="545"/>
      <c r="H30" s="513"/>
      <c r="I30" s="546"/>
      <c r="J30" s="537"/>
      <c r="K30" s="1394"/>
    </row>
    <row r="31" spans="1:13" ht="15" customHeight="1" x14ac:dyDescent="0.25">
      <c r="A31" s="550" t="s">
        <v>534</v>
      </c>
      <c r="B31" s="551"/>
      <c r="C31" s="552"/>
      <c r="D31" s="553"/>
      <c r="E31" s="554"/>
      <c r="F31" s="537">
        <f>+F30+F22</f>
        <v>4088</v>
      </c>
      <c r="G31" s="538"/>
      <c r="H31" s="539"/>
      <c r="I31" s="540"/>
      <c r="J31" s="537"/>
      <c r="K31" s="1394"/>
    </row>
    <row r="32" spans="1:13" ht="18" customHeight="1" x14ac:dyDescent="0.25">
      <c r="A32" s="1400" t="s">
        <v>535</v>
      </c>
      <c r="B32" s="1401"/>
      <c r="C32" s="1397"/>
      <c r="D32" s="1397"/>
      <c r="E32" s="1397"/>
      <c r="F32" s="1397"/>
      <c r="G32" s="1397"/>
      <c r="H32" s="1397"/>
      <c r="I32" s="1397"/>
      <c r="J32" s="1397"/>
      <c r="K32" s="1394"/>
    </row>
    <row r="33" spans="1:11" ht="15" customHeight="1" x14ac:dyDescent="0.2">
      <c r="A33" s="555" t="s">
        <v>823</v>
      </c>
      <c r="B33" s="556"/>
      <c r="C33" s="514"/>
      <c r="D33" s="522">
        <f>K4</f>
        <v>11</v>
      </c>
      <c r="E33" s="557">
        <v>200</v>
      </c>
      <c r="F33" s="524">
        <f>D33*E33</f>
        <v>2200</v>
      </c>
      <c r="G33" s="525"/>
      <c r="H33" s="522"/>
      <c r="I33" s="558"/>
      <c r="J33" s="524"/>
      <c r="K33" s="1394"/>
    </row>
    <row r="34" spans="1:11" ht="15" customHeight="1" x14ac:dyDescent="0.2">
      <c r="A34" s="555" t="s">
        <v>536</v>
      </c>
      <c r="B34" s="556"/>
      <c r="C34" s="514">
        <f>C9</f>
        <v>8</v>
      </c>
      <c r="D34" s="522">
        <f>C10</f>
        <v>12</v>
      </c>
      <c r="E34" s="557"/>
      <c r="F34" s="524">
        <f>K5*0.07*C6</f>
        <v>99.750000000000014</v>
      </c>
      <c r="G34" s="525"/>
      <c r="H34" s="522"/>
      <c r="I34" s="558"/>
      <c r="J34" s="524"/>
      <c r="K34" s="1394"/>
    </row>
    <row r="35" spans="1:11" ht="15" customHeight="1" x14ac:dyDescent="0.25">
      <c r="A35" s="550" t="s">
        <v>537</v>
      </c>
      <c r="B35" s="551"/>
      <c r="C35" s="559"/>
      <c r="D35" s="560"/>
      <c r="E35" s="554"/>
      <c r="F35" s="537">
        <f>SUM(F33:F34)</f>
        <v>2299.75</v>
      </c>
      <c r="G35" s="560"/>
      <c r="H35" s="560"/>
      <c r="I35" s="554"/>
      <c r="J35" s="537"/>
      <c r="K35" s="1394"/>
    </row>
    <row r="36" spans="1:11" thickBot="1" x14ac:dyDescent="0.3">
      <c r="A36" s="561"/>
      <c r="B36" s="561"/>
      <c r="C36" s="561"/>
      <c r="D36" s="561"/>
      <c r="E36" s="513"/>
      <c r="F36" s="562" t="s">
        <v>538</v>
      </c>
      <c r="G36" s="513"/>
      <c r="H36" s="513"/>
      <c r="I36" s="513"/>
      <c r="J36" s="562"/>
      <c r="K36" s="1394"/>
    </row>
    <row r="37" spans="1:11" ht="16.5" customHeight="1" thickTop="1" thickBot="1" x14ac:dyDescent="0.3">
      <c r="A37" s="563" t="s">
        <v>240</v>
      </c>
      <c r="B37" s="564"/>
      <c r="C37" s="564"/>
      <c r="D37" s="565"/>
      <c r="E37" s="566"/>
      <c r="F37" s="567">
        <f>F35+F31</f>
        <v>6387.75</v>
      </c>
      <c r="G37" s="513"/>
      <c r="H37" s="513"/>
      <c r="I37" s="513"/>
      <c r="J37" s="567"/>
      <c r="K37" s="1394"/>
    </row>
    <row r="38" spans="1:11" ht="16.5" customHeight="1" thickTop="1" thickBot="1" x14ac:dyDescent="0.3">
      <c r="A38" s="568" t="s">
        <v>86</v>
      </c>
      <c r="B38" s="569"/>
      <c r="C38" s="569"/>
      <c r="D38" s="570"/>
      <c r="E38" s="571"/>
      <c r="F38" s="572">
        <f>C6*K8</f>
        <v>6650</v>
      </c>
      <c r="G38" s="513"/>
      <c r="H38" s="513"/>
      <c r="I38" s="513"/>
      <c r="J38" s="572"/>
      <c r="K38" s="1394"/>
    </row>
    <row r="39" spans="1:11" ht="16.5" customHeight="1" thickTop="1" x14ac:dyDescent="0.25">
      <c r="A39" s="573" t="s">
        <v>245</v>
      </c>
      <c r="B39" s="574"/>
      <c r="C39" s="574"/>
      <c r="D39" s="575"/>
      <c r="E39" s="576"/>
      <c r="F39" s="577">
        <f>F38-F37</f>
        <v>262.25</v>
      </c>
      <c r="G39" s="513"/>
      <c r="H39" s="513"/>
      <c r="I39" s="513"/>
      <c r="J39" s="577"/>
      <c r="K39" s="1394"/>
    </row>
    <row r="40" spans="1:11" ht="17.25" hidden="1" customHeight="1" x14ac:dyDescent="0.25">
      <c r="A40" s="578" t="s">
        <v>539</v>
      </c>
      <c r="B40" s="579"/>
      <c r="C40" s="580"/>
      <c r="D40" s="580"/>
      <c r="E40" s="580"/>
      <c r="F40" s="581">
        <v>0</v>
      </c>
      <c r="G40" s="549"/>
      <c r="H40" s="549"/>
      <c r="I40" s="549"/>
      <c r="J40" s="549"/>
      <c r="K40" s="549"/>
    </row>
    <row r="41" spans="1:11" hidden="1" thickBot="1" x14ac:dyDescent="0.3">
      <c r="A41" s="582" t="s">
        <v>3</v>
      </c>
      <c r="B41" s="583"/>
      <c r="C41" s="580"/>
      <c r="D41" s="580"/>
      <c r="E41" s="580"/>
      <c r="F41" s="584">
        <f>SUM(F39:F39)</f>
        <v>262.25</v>
      </c>
      <c r="G41" s="549"/>
      <c r="H41" s="549"/>
      <c r="I41" s="549"/>
      <c r="J41" s="549"/>
      <c r="K41" s="549"/>
    </row>
    <row r="44" spans="1:11" ht="15.75" customHeight="1" x14ac:dyDescent="0.2">
      <c r="F44" s="585"/>
    </row>
  </sheetData>
  <mergeCells count="26">
    <mergeCell ref="A12:F12"/>
    <mergeCell ref="G12:J12"/>
    <mergeCell ref="K12:K39"/>
    <mergeCell ref="A14:J14"/>
    <mergeCell ref="A23:J23"/>
    <mergeCell ref="A24:J24"/>
    <mergeCell ref="A32:J32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M44"/>
  <sheetViews>
    <sheetView workbookViewId="0">
      <selection sqref="A1:K1"/>
    </sheetView>
  </sheetViews>
  <sheetFormatPr defaultColWidth="16.5703125" defaultRowHeight="15.75" customHeight="1" x14ac:dyDescent="0.2"/>
  <cols>
    <col min="1" max="2" width="22.85546875" style="500" customWidth="1"/>
    <col min="3" max="4" width="5.42578125" style="500" customWidth="1"/>
    <col min="5" max="5" width="12" style="500" customWidth="1"/>
    <col min="6" max="6" width="15.140625" style="500" customWidth="1"/>
    <col min="7" max="7" width="5.42578125" style="500" customWidth="1"/>
    <col min="8" max="8" width="7.5703125" style="500" customWidth="1"/>
    <col min="9" max="9" width="10.28515625" style="500" customWidth="1"/>
    <col min="10" max="11" width="15.140625" style="500" customWidth="1"/>
    <col min="12" max="16384" width="16.5703125" style="500"/>
  </cols>
  <sheetData>
    <row r="1" spans="1:11" ht="25.5" customHeight="1" x14ac:dyDescent="0.35">
      <c r="A1" s="1353" t="s">
        <v>525</v>
      </c>
      <c r="B1" s="1353"/>
      <c r="C1" s="1353"/>
      <c r="D1" s="1353"/>
      <c r="E1" s="1353"/>
      <c r="F1" s="1353"/>
      <c r="G1" s="1353"/>
      <c r="H1" s="1353"/>
      <c r="I1" s="1353"/>
      <c r="J1" s="1353"/>
      <c r="K1" s="1353"/>
    </row>
    <row r="2" spans="1:11" ht="15" customHeight="1" x14ac:dyDescent="0.2">
      <c r="A2" s="1354" t="s">
        <v>183</v>
      </c>
      <c r="B2" s="1354"/>
      <c r="C2" s="1355"/>
      <c r="D2" s="1355"/>
      <c r="E2" s="1355"/>
      <c r="F2" s="1355"/>
      <c r="G2" s="1355"/>
      <c r="H2" s="1355"/>
      <c r="I2" s="1355"/>
      <c r="J2" s="1355"/>
      <c r="K2" s="1355"/>
    </row>
    <row r="3" spans="1:11" ht="15" x14ac:dyDescent="0.2">
      <c r="A3" s="501" t="s">
        <v>184</v>
      </c>
      <c r="B3" s="502"/>
      <c r="C3" s="1366" t="s">
        <v>376</v>
      </c>
      <c r="D3" s="1367"/>
      <c r="E3" s="1367"/>
      <c r="F3" s="1368"/>
      <c r="G3" s="1369" t="s">
        <v>186</v>
      </c>
      <c r="H3" s="1370"/>
      <c r="I3" s="1371"/>
      <c r="J3" s="1372" t="s">
        <v>187</v>
      </c>
      <c r="K3" s="1373"/>
    </row>
    <row r="4" spans="1:11" ht="15" customHeight="1" x14ac:dyDescent="0.2">
      <c r="A4" s="501" t="s">
        <v>188</v>
      </c>
      <c r="B4" s="502"/>
      <c r="C4" s="1361" t="s">
        <v>526</v>
      </c>
      <c r="D4" s="1362"/>
      <c r="E4" s="1362"/>
      <c r="F4" s="1363"/>
      <c r="G4" s="1364" t="s">
        <v>527</v>
      </c>
      <c r="H4" s="1365"/>
      <c r="I4" s="503">
        <v>1</v>
      </c>
      <c r="J4" s="504" t="s">
        <v>570</v>
      </c>
      <c r="K4" s="505">
        <v>11</v>
      </c>
    </row>
    <row r="5" spans="1:11" ht="15" customHeight="1" x14ac:dyDescent="0.2">
      <c r="A5" s="501" t="s">
        <v>528</v>
      </c>
      <c r="B5" s="502"/>
      <c r="C5" s="1361" t="s">
        <v>571</v>
      </c>
      <c r="D5" s="1362"/>
      <c r="E5" s="1362"/>
      <c r="F5" s="1363"/>
      <c r="G5" s="1364" t="s">
        <v>529</v>
      </c>
      <c r="H5" s="1365"/>
      <c r="I5" s="503">
        <v>3</v>
      </c>
      <c r="J5" s="504" t="s">
        <v>572</v>
      </c>
      <c r="K5" s="505">
        <v>3</v>
      </c>
    </row>
    <row r="6" spans="1:11" ht="15" customHeight="1" x14ac:dyDescent="0.2">
      <c r="A6" s="501" t="s">
        <v>530</v>
      </c>
      <c r="B6" s="502"/>
      <c r="C6" s="1374">
        <v>450</v>
      </c>
      <c r="D6" s="1375"/>
      <c r="E6" s="1375"/>
      <c r="F6" s="1376"/>
      <c r="G6" s="1364" t="s">
        <v>531</v>
      </c>
      <c r="H6" s="1365"/>
      <c r="I6" s="503">
        <v>1</v>
      </c>
      <c r="J6" s="504" t="s">
        <v>197</v>
      </c>
      <c r="K6" s="505"/>
    </row>
    <row r="7" spans="1:11" ht="15" customHeight="1" x14ac:dyDescent="0.2">
      <c r="A7" s="501" t="s">
        <v>198</v>
      </c>
      <c r="B7" s="502"/>
      <c r="C7" s="1377"/>
      <c r="D7" s="1378"/>
      <c r="E7" s="1378"/>
      <c r="F7" s="1379"/>
      <c r="G7" s="1364"/>
      <c r="H7" s="1365"/>
      <c r="I7" s="503"/>
      <c r="J7" s="504" t="s">
        <v>199</v>
      </c>
      <c r="K7" s="505"/>
    </row>
    <row r="8" spans="1:11" ht="15" customHeight="1" x14ac:dyDescent="0.2">
      <c r="A8" s="501" t="s">
        <v>201</v>
      </c>
      <c r="B8" s="502"/>
      <c r="C8" s="1377"/>
      <c r="D8" s="1378"/>
      <c r="E8" s="1378"/>
      <c r="F8" s="1379"/>
      <c r="G8" s="1364"/>
      <c r="H8" s="1365"/>
      <c r="I8" s="503"/>
      <c r="J8" s="506" t="s">
        <v>3</v>
      </c>
      <c r="K8" s="507">
        <f>SUM(K4:K7)</f>
        <v>14</v>
      </c>
    </row>
    <row r="9" spans="1:11" ht="15" customHeight="1" x14ac:dyDescent="0.2">
      <c r="A9" s="501" t="s">
        <v>203</v>
      </c>
      <c r="B9" s="502"/>
      <c r="C9" s="1380">
        <v>7</v>
      </c>
      <c r="D9" s="1381"/>
      <c r="E9" s="1381"/>
      <c r="F9" s="1382"/>
      <c r="G9" s="1364"/>
      <c r="H9" s="1365"/>
      <c r="I9" s="503"/>
      <c r="J9" s="508"/>
      <c r="K9" s="509"/>
    </row>
    <row r="10" spans="1:11" ht="15" customHeight="1" x14ac:dyDescent="0.2">
      <c r="A10" s="501" t="s">
        <v>204</v>
      </c>
      <c r="B10" s="502"/>
      <c r="C10" s="1383">
        <v>12</v>
      </c>
      <c r="D10" s="1384"/>
      <c r="E10" s="1384"/>
      <c r="F10" s="1385"/>
      <c r="G10" s="1386" t="s">
        <v>3</v>
      </c>
      <c r="H10" s="1387"/>
      <c r="I10" s="510">
        <f>SUM(I4:I9)</f>
        <v>5</v>
      </c>
      <c r="J10" s="511" t="s">
        <v>205</v>
      </c>
      <c r="K10" s="512"/>
    </row>
    <row r="11" spans="1:11" thickBot="1" x14ac:dyDescent="0.3">
      <c r="A11" s="513"/>
      <c r="B11" s="513"/>
      <c r="C11" s="513"/>
      <c r="D11" s="513"/>
      <c r="E11" s="513"/>
      <c r="F11" s="513"/>
      <c r="G11" s="513"/>
      <c r="H11" s="513"/>
      <c r="I11" s="513"/>
      <c r="J11" s="513"/>
      <c r="K11" s="513"/>
    </row>
    <row r="12" spans="1:11" ht="15" x14ac:dyDescent="0.2">
      <c r="A12" s="1388" t="s">
        <v>206</v>
      </c>
      <c r="B12" s="1388"/>
      <c r="C12" s="1388"/>
      <c r="D12" s="1388"/>
      <c r="E12" s="1388"/>
      <c r="F12" s="1389"/>
      <c r="G12" s="1390" t="s">
        <v>207</v>
      </c>
      <c r="H12" s="1391"/>
      <c r="I12" s="1391"/>
      <c r="J12" s="1392"/>
      <c r="K12" s="1393"/>
    </row>
    <row r="13" spans="1:11" ht="15" customHeight="1" x14ac:dyDescent="0.25">
      <c r="A13" s="513"/>
      <c r="B13" s="513"/>
      <c r="C13" s="514" t="s">
        <v>208</v>
      </c>
      <c r="D13" s="515" t="s">
        <v>209</v>
      </c>
      <c r="E13" s="516" t="s">
        <v>210</v>
      </c>
      <c r="F13" s="517" t="s">
        <v>211</v>
      </c>
      <c r="G13" s="518" t="s">
        <v>208</v>
      </c>
      <c r="H13" s="515" t="s">
        <v>209</v>
      </c>
      <c r="I13" s="516" t="s">
        <v>210</v>
      </c>
      <c r="J13" s="519" t="s">
        <v>211</v>
      </c>
      <c r="K13" s="1394"/>
    </row>
    <row r="14" spans="1:11" ht="18.75" customHeight="1" x14ac:dyDescent="0.3">
      <c r="A14" s="1395" t="s">
        <v>532</v>
      </c>
      <c r="B14" s="1396"/>
      <c r="C14" s="1397"/>
      <c r="D14" s="1397"/>
      <c r="E14" s="1397"/>
      <c r="F14" s="1397"/>
      <c r="G14" s="1397"/>
      <c r="H14" s="1397"/>
      <c r="I14" s="1397"/>
      <c r="J14" s="1397"/>
      <c r="K14" s="1394"/>
    </row>
    <row r="15" spans="1:11" ht="15" customHeight="1" x14ac:dyDescent="0.2">
      <c r="A15" s="520" t="s">
        <v>215</v>
      </c>
      <c r="B15" s="521" t="s">
        <v>106</v>
      </c>
      <c r="C15" s="514">
        <f>C9</f>
        <v>7</v>
      </c>
      <c r="D15" s="522">
        <f>C10+I10</f>
        <v>17</v>
      </c>
      <c r="E15" s="523">
        <v>7</v>
      </c>
      <c r="F15" s="524">
        <f t="shared" ref="F15:F18" si="0">C15*D15*E15</f>
        <v>833</v>
      </c>
      <c r="G15" s="525">
        <f>$C$9</f>
        <v>7</v>
      </c>
      <c r="H15" s="522"/>
      <c r="I15" s="526"/>
      <c r="J15" s="527"/>
      <c r="K15" s="1394"/>
    </row>
    <row r="16" spans="1:11" ht="15" customHeight="1" x14ac:dyDescent="0.2">
      <c r="A16" s="520" t="s">
        <v>216</v>
      </c>
      <c r="B16" s="521" t="s">
        <v>107</v>
      </c>
      <c r="C16" s="514"/>
      <c r="D16" s="522"/>
      <c r="E16" s="523"/>
      <c r="F16" s="524">
        <v>50</v>
      </c>
      <c r="G16" s="525">
        <f t="shared" ref="G16:G21" si="1">$C$9</f>
        <v>7</v>
      </c>
      <c r="H16" s="522"/>
      <c r="I16" s="526"/>
      <c r="J16" s="528"/>
      <c r="K16" s="1394"/>
    </row>
    <row r="17" spans="1:13" ht="15" customHeight="1" x14ac:dyDescent="0.2">
      <c r="A17" s="520" t="s">
        <v>217</v>
      </c>
      <c r="B17" s="521" t="s">
        <v>120</v>
      </c>
      <c r="C17" s="514">
        <f t="shared" ref="C17:C19" si="2">$C$9</f>
        <v>7</v>
      </c>
      <c r="D17" s="522">
        <f t="shared" ref="D17:D19" si="3">$C$10+$I$10</f>
        <v>17</v>
      </c>
      <c r="E17" s="523">
        <v>1</v>
      </c>
      <c r="F17" s="524">
        <f t="shared" si="0"/>
        <v>119</v>
      </c>
      <c r="G17" s="525">
        <f t="shared" si="1"/>
        <v>7</v>
      </c>
      <c r="H17" s="522"/>
      <c r="I17" s="526"/>
      <c r="J17" s="528"/>
      <c r="K17" s="1394"/>
    </row>
    <row r="18" spans="1:13" ht="15" customHeight="1" x14ac:dyDescent="0.2">
      <c r="A18" s="520" t="s">
        <v>218</v>
      </c>
      <c r="B18" s="521" t="s">
        <v>107</v>
      </c>
      <c r="C18" s="514">
        <f t="shared" si="2"/>
        <v>7</v>
      </c>
      <c r="D18" s="522">
        <f t="shared" si="3"/>
        <v>17</v>
      </c>
      <c r="E18" s="523"/>
      <c r="F18" s="524">
        <f t="shared" si="0"/>
        <v>0</v>
      </c>
      <c r="G18" s="525">
        <f t="shared" si="1"/>
        <v>7</v>
      </c>
      <c r="H18" s="522"/>
      <c r="I18" s="526"/>
      <c r="J18" s="528"/>
      <c r="K18" s="1394"/>
    </row>
    <row r="19" spans="1:13" ht="15" customHeight="1" thickBot="1" x14ac:dyDescent="0.25">
      <c r="A19" s="520" t="s">
        <v>219</v>
      </c>
      <c r="B19" s="521" t="s">
        <v>108</v>
      </c>
      <c r="C19" s="514">
        <f t="shared" si="2"/>
        <v>7</v>
      </c>
      <c r="D19" s="522">
        <f t="shared" si="3"/>
        <v>17</v>
      </c>
      <c r="E19" s="529"/>
      <c r="F19" s="524">
        <v>50</v>
      </c>
      <c r="G19" s="525">
        <f t="shared" si="1"/>
        <v>7</v>
      </c>
      <c r="H19" s="522"/>
      <c r="I19" s="530"/>
      <c r="J19" s="528"/>
      <c r="K19" s="1394"/>
    </row>
    <row r="20" spans="1:13" ht="15" customHeight="1" x14ac:dyDescent="0.2">
      <c r="A20" s="520" t="s">
        <v>220</v>
      </c>
      <c r="B20" s="531" t="s">
        <v>116</v>
      </c>
      <c r="C20" s="514">
        <v>8</v>
      </c>
      <c r="D20" s="522">
        <f>C10</f>
        <v>12</v>
      </c>
      <c r="E20" s="523"/>
      <c r="F20" s="524">
        <f t="shared" ref="F20:F21" si="4">C20*D20*E20</f>
        <v>0</v>
      </c>
      <c r="G20" s="525">
        <f t="shared" si="1"/>
        <v>7</v>
      </c>
      <c r="H20" s="522"/>
      <c r="I20" s="526"/>
      <c r="J20" s="528"/>
      <c r="K20" s="1394"/>
    </row>
    <row r="21" spans="1:13" ht="15" customHeight="1" x14ac:dyDescent="0.2">
      <c r="A21" s="520" t="s">
        <v>221</v>
      </c>
      <c r="B21" s="521" t="s">
        <v>110</v>
      </c>
      <c r="C21" s="514">
        <f>C9</f>
        <v>7</v>
      </c>
      <c r="D21" s="522">
        <f>C10+I10</f>
        <v>17</v>
      </c>
      <c r="E21" s="523"/>
      <c r="F21" s="524">
        <f t="shared" si="4"/>
        <v>0</v>
      </c>
      <c r="G21" s="525">
        <f t="shared" si="1"/>
        <v>7</v>
      </c>
      <c r="H21" s="522"/>
      <c r="I21" s="526"/>
      <c r="J21" s="528"/>
      <c r="K21" s="1394"/>
    </row>
    <row r="22" spans="1:13" ht="15" customHeight="1" x14ac:dyDescent="0.25">
      <c r="A22" s="532" t="s">
        <v>3</v>
      </c>
      <c r="B22" s="533"/>
      <c r="C22" s="534"/>
      <c r="D22" s="535"/>
      <c r="E22" s="536"/>
      <c r="F22" s="537">
        <f>SUM(F15:F21)</f>
        <v>1052</v>
      </c>
      <c r="G22" s="538"/>
      <c r="H22" s="539"/>
      <c r="I22" s="540"/>
      <c r="J22" s="528"/>
      <c r="K22" s="1394"/>
      <c r="M22" s="541"/>
    </row>
    <row r="23" spans="1:13" ht="18.75" customHeight="1" x14ac:dyDescent="0.3">
      <c r="A23" s="1395" t="s">
        <v>223</v>
      </c>
      <c r="B23" s="1396"/>
      <c r="C23" s="1397"/>
      <c r="D23" s="1397"/>
      <c r="E23" s="1397"/>
      <c r="F23" s="1397"/>
      <c r="G23" s="1397"/>
      <c r="H23" s="1397"/>
      <c r="I23" s="1397"/>
      <c r="J23" s="1397"/>
      <c r="K23" s="1394"/>
    </row>
    <row r="24" spans="1:13" ht="18" customHeight="1" x14ac:dyDescent="0.25">
      <c r="A24" s="1398" t="s">
        <v>224</v>
      </c>
      <c r="B24" s="1399"/>
      <c r="C24" s="1355"/>
      <c r="D24" s="1355"/>
      <c r="E24" s="1355"/>
      <c r="F24" s="1355"/>
      <c r="G24" s="1355"/>
      <c r="H24" s="1355"/>
      <c r="I24" s="1355"/>
      <c r="J24" s="1355"/>
      <c r="K24" s="1394"/>
    </row>
    <row r="25" spans="1:13" ht="18" customHeight="1" x14ac:dyDescent="0.2">
      <c r="A25" s="520" t="s">
        <v>533</v>
      </c>
      <c r="B25" s="542"/>
      <c r="C25" s="514">
        <f t="shared" ref="C25" si="5">$C$9</f>
        <v>7</v>
      </c>
      <c r="D25" s="522">
        <v>1</v>
      </c>
      <c r="E25" s="523">
        <v>350</v>
      </c>
      <c r="F25" s="537">
        <v>2800</v>
      </c>
      <c r="G25" s="525">
        <f t="shared" ref="G25:G29" si="6">$C$9</f>
        <v>7</v>
      </c>
      <c r="H25" s="522"/>
      <c r="I25" s="526"/>
      <c r="J25" s="528"/>
      <c r="K25" s="1394"/>
    </row>
    <row r="26" spans="1:13" ht="18" customHeight="1" x14ac:dyDescent="0.2">
      <c r="A26" s="520" t="s">
        <v>822</v>
      </c>
      <c r="B26" s="542"/>
      <c r="C26" s="514"/>
      <c r="D26" s="522"/>
      <c r="E26" s="523"/>
      <c r="F26" s="537">
        <v>100</v>
      </c>
      <c r="G26" s="525">
        <f t="shared" si="6"/>
        <v>7</v>
      </c>
      <c r="H26" s="522"/>
      <c r="I26" s="526"/>
      <c r="J26" s="528"/>
      <c r="K26" s="1394"/>
    </row>
    <row r="27" spans="1:13" ht="18" customHeight="1" x14ac:dyDescent="0.2">
      <c r="A27" s="520"/>
      <c r="B27" s="542"/>
      <c r="C27" s="514"/>
      <c r="D27" s="522"/>
      <c r="E27" s="523"/>
      <c r="F27" s="537"/>
      <c r="G27" s="525">
        <f t="shared" si="6"/>
        <v>7</v>
      </c>
      <c r="H27" s="522"/>
      <c r="I27" s="526"/>
      <c r="J27" s="528"/>
      <c r="K27" s="1394"/>
    </row>
    <row r="28" spans="1:13" ht="18" customHeight="1" x14ac:dyDescent="0.2">
      <c r="A28" s="520"/>
      <c r="B28" s="542"/>
      <c r="C28" s="514"/>
      <c r="D28" s="522"/>
      <c r="E28" s="523"/>
      <c r="F28" s="537"/>
      <c r="G28" s="525">
        <f t="shared" si="6"/>
        <v>7</v>
      </c>
      <c r="H28" s="522"/>
      <c r="I28" s="526"/>
      <c r="J28" s="528"/>
      <c r="K28" s="1394"/>
    </row>
    <row r="29" spans="1:13" ht="18" customHeight="1" x14ac:dyDescent="0.2">
      <c r="A29" s="520"/>
      <c r="B29" s="542"/>
      <c r="C29" s="514"/>
      <c r="D29" s="522"/>
      <c r="E29" s="523"/>
      <c r="F29" s="537"/>
      <c r="G29" s="525">
        <f t="shared" si="6"/>
        <v>7</v>
      </c>
      <c r="H29" s="522"/>
      <c r="I29" s="526"/>
      <c r="J29" s="528"/>
      <c r="K29" s="1394"/>
    </row>
    <row r="30" spans="1:13" ht="15" customHeight="1" x14ac:dyDescent="0.25">
      <c r="A30" s="547" t="s">
        <v>3</v>
      </c>
      <c r="B30" s="548"/>
      <c r="C30" s="543"/>
      <c r="D30" s="544"/>
      <c r="E30" s="549"/>
      <c r="F30" s="537">
        <f>F25+F26</f>
        <v>2900</v>
      </c>
      <c r="G30" s="545"/>
      <c r="H30" s="513"/>
      <c r="I30" s="546"/>
      <c r="J30" s="537"/>
      <c r="K30" s="1394"/>
    </row>
    <row r="31" spans="1:13" ht="15" customHeight="1" x14ac:dyDescent="0.25">
      <c r="A31" s="550" t="s">
        <v>534</v>
      </c>
      <c r="B31" s="551"/>
      <c r="C31" s="552"/>
      <c r="D31" s="553"/>
      <c r="E31" s="554"/>
      <c r="F31" s="537">
        <f>+F30+F22</f>
        <v>3952</v>
      </c>
      <c r="G31" s="538"/>
      <c r="H31" s="539"/>
      <c r="I31" s="540"/>
      <c r="J31" s="537"/>
      <c r="K31" s="1394"/>
    </row>
    <row r="32" spans="1:13" ht="18" customHeight="1" x14ac:dyDescent="0.25">
      <c r="A32" s="1400" t="s">
        <v>535</v>
      </c>
      <c r="B32" s="1401"/>
      <c r="C32" s="1397"/>
      <c r="D32" s="1397"/>
      <c r="E32" s="1397"/>
      <c r="F32" s="1397"/>
      <c r="G32" s="1397"/>
      <c r="H32" s="1397"/>
      <c r="I32" s="1397"/>
      <c r="J32" s="1397"/>
      <c r="K32" s="1394"/>
    </row>
    <row r="33" spans="1:11" ht="15" customHeight="1" x14ac:dyDescent="0.2">
      <c r="A33" s="555" t="s">
        <v>823</v>
      </c>
      <c r="B33" s="556"/>
      <c r="C33" s="514"/>
      <c r="D33" s="522">
        <f>K4</f>
        <v>11</v>
      </c>
      <c r="E33" s="557">
        <v>200</v>
      </c>
      <c r="F33" s="524">
        <f>D33*E33</f>
        <v>2200</v>
      </c>
      <c r="G33" s="525"/>
      <c r="H33" s="522"/>
      <c r="I33" s="558"/>
      <c r="J33" s="524"/>
      <c r="K33" s="1394"/>
    </row>
    <row r="34" spans="1:11" ht="15" customHeight="1" x14ac:dyDescent="0.2">
      <c r="A34" s="555" t="s">
        <v>536</v>
      </c>
      <c r="B34" s="556"/>
      <c r="C34" s="514">
        <f>C9</f>
        <v>7</v>
      </c>
      <c r="D34" s="522">
        <f>C10</f>
        <v>12</v>
      </c>
      <c r="E34" s="557"/>
      <c r="F34" s="524">
        <f>K5*0.07*C6</f>
        <v>94.500000000000014</v>
      </c>
      <c r="G34" s="525"/>
      <c r="H34" s="522"/>
      <c r="I34" s="558"/>
      <c r="J34" s="524"/>
      <c r="K34" s="1394"/>
    </row>
    <row r="35" spans="1:11" ht="15" customHeight="1" x14ac:dyDescent="0.25">
      <c r="A35" s="550" t="s">
        <v>537</v>
      </c>
      <c r="B35" s="551"/>
      <c r="C35" s="559"/>
      <c r="D35" s="560"/>
      <c r="E35" s="554"/>
      <c r="F35" s="537">
        <f>SUM(F33:F34)</f>
        <v>2294.5</v>
      </c>
      <c r="G35" s="560"/>
      <c r="H35" s="560"/>
      <c r="I35" s="554"/>
      <c r="J35" s="537"/>
      <c r="K35" s="1394"/>
    </row>
    <row r="36" spans="1:11" thickBot="1" x14ac:dyDescent="0.3">
      <c r="A36" s="561"/>
      <c r="B36" s="561"/>
      <c r="C36" s="561"/>
      <c r="D36" s="561"/>
      <c r="E36" s="513"/>
      <c r="F36" s="562" t="s">
        <v>538</v>
      </c>
      <c r="G36" s="513"/>
      <c r="H36" s="513"/>
      <c r="I36" s="513"/>
      <c r="J36" s="562"/>
      <c r="K36" s="1394"/>
    </row>
    <row r="37" spans="1:11" ht="16.5" customHeight="1" thickTop="1" thickBot="1" x14ac:dyDescent="0.3">
      <c r="A37" s="563" t="s">
        <v>240</v>
      </c>
      <c r="B37" s="564"/>
      <c r="C37" s="564"/>
      <c r="D37" s="565"/>
      <c r="E37" s="566"/>
      <c r="F37" s="567">
        <f>F35+F31</f>
        <v>6246.5</v>
      </c>
      <c r="G37" s="513"/>
      <c r="H37" s="513"/>
      <c r="I37" s="513"/>
      <c r="J37" s="567"/>
      <c r="K37" s="1394"/>
    </row>
    <row r="38" spans="1:11" ht="16.5" customHeight="1" thickTop="1" thickBot="1" x14ac:dyDescent="0.3">
      <c r="A38" s="568" t="s">
        <v>86</v>
      </c>
      <c r="B38" s="569"/>
      <c r="C38" s="569"/>
      <c r="D38" s="570"/>
      <c r="E38" s="571"/>
      <c r="F38" s="572">
        <f>C6*K8</f>
        <v>6300</v>
      </c>
      <c r="G38" s="513"/>
      <c r="H38" s="513"/>
      <c r="I38" s="513"/>
      <c r="J38" s="572"/>
      <c r="K38" s="1394"/>
    </row>
    <row r="39" spans="1:11" ht="16.5" customHeight="1" thickTop="1" x14ac:dyDescent="0.25">
      <c r="A39" s="573" t="s">
        <v>245</v>
      </c>
      <c r="B39" s="574"/>
      <c r="C39" s="574"/>
      <c r="D39" s="575"/>
      <c r="E39" s="576"/>
      <c r="F39" s="577">
        <f>F38-F37</f>
        <v>53.5</v>
      </c>
      <c r="G39" s="513"/>
      <c r="H39" s="513"/>
      <c r="I39" s="513"/>
      <c r="J39" s="577"/>
      <c r="K39" s="1394"/>
    </row>
    <row r="40" spans="1:11" ht="17.25" hidden="1" customHeight="1" x14ac:dyDescent="0.25">
      <c r="A40" s="578" t="s">
        <v>539</v>
      </c>
      <c r="B40" s="579"/>
      <c r="C40" s="580"/>
      <c r="D40" s="580"/>
      <c r="E40" s="580"/>
      <c r="F40" s="581">
        <v>0</v>
      </c>
      <c r="G40" s="549"/>
      <c r="H40" s="549"/>
      <c r="I40" s="549"/>
      <c r="J40" s="549"/>
      <c r="K40" s="549"/>
    </row>
    <row r="41" spans="1:11" hidden="1" thickBot="1" x14ac:dyDescent="0.3">
      <c r="A41" s="582" t="s">
        <v>3</v>
      </c>
      <c r="B41" s="583"/>
      <c r="C41" s="580"/>
      <c r="D41" s="580"/>
      <c r="E41" s="580"/>
      <c r="F41" s="584">
        <f>SUM(F39:F39)</f>
        <v>53.5</v>
      </c>
      <c r="G41" s="549"/>
      <c r="H41" s="549"/>
      <c r="I41" s="549"/>
      <c r="J41" s="549"/>
      <c r="K41" s="549"/>
    </row>
    <row r="44" spans="1:11" ht="15.75" customHeight="1" x14ac:dyDescent="0.2">
      <c r="F44" s="585"/>
    </row>
  </sheetData>
  <mergeCells count="26">
    <mergeCell ref="A12:F12"/>
    <mergeCell ref="G12:J12"/>
    <mergeCell ref="K12:K39"/>
    <mergeCell ref="A14:J14"/>
    <mergeCell ref="A23:J23"/>
    <mergeCell ref="A24:J24"/>
    <mergeCell ref="A32:J32"/>
    <mergeCell ref="C8:F8"/>
    <mergeCell ref="G8:H8"/>
    <mergeCell ref="C9:F9"/>
    <mergeCell ref="G9:H9"/>
    <mergeCell ref="C10:F10"/>
    <mergeCell ref="G10:H10"/>
    <mergeCell ref="C5:F5"/>
    <mergeCell ref="G5:H5"/>
    <mergeCell ref="C6:F6"/>
    <mergeCell ref="G6:H6"/>
    <mergeCell ref="C7:F7"/>
    <mergeCell ref="G7:H7"/>
    <mergeCell ref="C4:F4"/>
    <mergeCell ref="G4:H4"/>
    <mergeCell ref="A1:K1"/>
    <mergeCell ref="A2:K2"/>
    <mergeCell ref="C3:F3"/>
    <mergeCell ref="G3:I3"/>
    <mergeCell ref="J3:K3"/>
  </mergeCells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MY73"/>
  <sheetViews>
    <sheetView workbookViewId="0">
      <selection sqref="A1:AR1"/>
    </sheetView>
  </sheetViews>
  <sheetFormatPr defaultColWidth="9.140625" defaultRowHeight="12" x14ac:dyDescent="0.2"/>
  <cols>
    <col min="1" max="1" width="8" style="189" customWidth="1"/>
    <col min="2" max="2" width="36.85546875" style="189" customWidth="1"/>
    <col min="3" max="3" width="12.42578125" style="189" customWidth="1"/>
    <col min="4" max="4" width="13.7109375" style="189" bestFit="1" customWidth="1"/>
    <col min="5" max="23" width="12.42578125" style="189" customWidth="1"/>
    <col min="24" max="24" width="8" style="189" customWidth="1"/>
    <col min="25" max="25" width="38.140625" style="189" customWidth="1"/>
    <col min="26" max="26" width="12.42578125" style="189" bestFit="1" customWidth="1"/>
    <col min="27" max="27" width="13.7109375" style="189" customWidth="1"/>
    <col min="28" max="44" width="12.42578125" style="189" customWidth="1"/>
    <col min="45" max="1039" width="15.140625" style="189" customWidth="1"/>
  </cols>
  <sheetData>
    <row r="1" spans="1:44" ht="26.25" customHeight="1" x14ac:dyDescent="0.2">
      <c r="A1" s="1479" t="s">
        <v>824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79"/>
      <c r="M1" s="1479"/>
      <c r="N1" s="1479"/>
      <c r="O1" s="1479"/>
      <c r="P1" s="1479"/>
      <c r="Q1" s="1479"/>
      <c r="R1" s="1479"/>
      <c r="S1" s="1479"/>
      <c r="T1" s="1479"/>
      <c r="U1" s="1479"/>
      <c r="V1" s="1479"/>
      <c r="W1" s="1479"/>
      <c r="X1" s="1479"/>
      <c r="Y1" s="1479"/>
      <c r="Z1" s="1479"/>
      <c r="AA1" s="1479"/>
      <c r="AB1" s="1479"/>
      <c r="AC1" s="1479"/>
      <c r="AD1" s="1479"/>
      <c r="AE1" s="1479"/>
      <c r="AF1" s="1479"/>
      <c r="AG1" s="1479"/>
      <c r="AH1" s="1479"/>
      <c r="AI1" s="1479"/>
      <c r="AJ1" s="1479"/>
      <c r="AK1" s="1479"/>
      <c r="AL1" s="1479"/>
      <c r="AM1" s="1479"/>
      <c r="AN1" s="1479"/>
      <c r="AO1" s="1479"/>
      <c r="AP1" s="1479"/>
      <c r="AQ1" s="1479"/>
      <c r="AR1" s="1479"/>
    </row>
    <row r="2" spans="1:44" ht="15.75" customHeight="1" thickBot="1" x14ac:dyDescent="0.25"/>
    <row r="3" spans="1:44" ht="12.75" thickBot="1" x14ac:dyDescent="0.25">
      <c r="A3" s="190" t="s">
        <v>310</v>
      </c>
      <c r="B3" s="1480" t="s">
        <v>311</v>
      </c>
      <c r="C3" s="191" t="s">
        <v>3</v>
      </c>
      <c r="D3" s="1478" t="s">
        <v>825</v>
      </c>
      <c r="E3" s="1481"/>
      <c r="F3" s="1483"/>
      <c r="G3" s="1485"/>
      <c r="H3" s="1478"/>
      <c r="I3" s="1486"/>
      <c r="J3" s="1478"/>
      <c r="K3" s="1485"/>
      <c r="L3" s="1478"/>
      <c r="M3" s="1486"/>
      <c r="N3" s="1478"/>
      <c r="O3" s="1485"/>
      <c r="P3" s="1478"/>
      <c r="Q3" s="1486"/>
      <c r="R3" s="1478"/>
      <c r="S3" s="1486"/>
      <c r="T3" s="1478"/>
      <c r="U3" s="1486"/>
      <c r="V3" s="1478" t="s">
        <v>42</v>
      </c>
      <c r="W3" s="1486" t="s">
        <v>42</v>
      </c>
      <c r="X3" s="192" t="s">
        <v>310</v>
      </c>
      <c r="Y3" s="1487" t="s">
        <v>314</v>
      </c>
      <c r="Z3" s="193" t="s">
        <v>3</v>
      </c>
      <c r="AA3" s="1478" t="str">
        <f t="shared" ref="AA3:AR3" si="0">D3</f>
        <v xml:space="preserve">REGION </v>
      </c>
      <c r="AB3" s="1477">
        <f t="shared" si="0"/>
        <v>0</v>
      </c>
      <c r="AC3" s="1478">
        <f t="shared" si="0"/>
        <v>0</v>
      </c>
      <c r="AD3" s="1477">
        <f t="shared" si="0"/>
        <v>0</v>
      </c>
      <c r="AE3" s="1478">
        <f t="shared" si="0"/>
        <v>0</v>
      </c>
      <c r="AF3" s="1477">
        <f t="shared" si="0"/>
        <v>0</v>
      </c>
      <c r="AG3" s="1478">
        <f t="shared" si="0"/>
        <v>0</v>
      </c>
      <c r="AH3" s="1477">
        <f t="shared" si="0"/>
        <v>0</v>
      </c>
      <c r="AI3" s="1478">
        <f t="shared" si="0"/>
        <v>0</v>
      </c>
      <c r="AJ3" s="1477">
        <f t="shared" si="0"/>
        <v>0</v>
      </c>
      <c r="AK3" s="1478">
        <f t="shared" si="0"/>
        <v>0</v>
      </c>
      <c r="AL3" s="1477">
        <f t="shared" si="0"/>
        <v>0</v>
      </c>
      <c r="AM3" s="1478">
        <f t="shared" si="0"/>
        <v>0</v>
      </c>
      <c r="AN3" s="1477">
        <f t="shared" si="0"/>
        <v>0</v>
      </c>
      <c r="AO3" s="1478">
        <f t="shared" si="0"/>
        <v>0</v>
      </c>
      <c r="AP3" s="1477">
        <f t="shared" si="0"/>
        <v>0</v>
      </c>
      <c r="AQ3" s="1478">
        <f t="shared" si="0"/>
        <v>0</v>
      </c>
      <c r="AR3" s="1477">
        <f t="shared" si="0"/>
        <v>0</v>
      </c>
    </row>
    <row r="4" spans="1:44" ht="12.75" thickBot="1" x14ac:dyDescent="0.25">
      <c r="A4" s="194" t="s">
        <v>315</v>
      </c>
      <c r="B4" s="1480"/>
      <c r="C4" s="195" t="s">
        <v>826</v>
      </c>
      <c r="D4" s="1478"/>
      <c r="E4" s="1482"/>
      <c r="F4" s="1484"/>
      <c r="G4" s="1486"/>
      <c r="H4" s="1478"/>
      <c r="I4" s="1486"/>
      <c r="J4" s="1478"/>
      <c r="K4" s="1486"/>
      <c r="L4" s="1478"/>
      <c r="M4" s="1486"/>
      <c r="N4" s="1478"/>
      <c r="O4" s="1486"/>
      <c r="P4" s="1478"/>
      <c r="Q4" s="1486"/>
      <c r="R4" s="1478"/>
      <c r="S4" s="1486"/>
      <c r="T4" s="1478"/>
      <c r="U4" s="1486"/>
      <c r="V4" s="1478"/>
      <c r="W4" s="1486"/>
      <c r="X4" s="196" t="s">
        <v>315</v>
      </c>
      <c r="Y4" s="1487"/>
      <c r="Z4" s="197" t="s">
        <v>826</v>
      </c>
      <c r="AA4" s="1478"/>
      <c r="AB4" s="1477"/>
      <c r="AC4" s="1478"/>
      <c r="AD4" s="1477"/>
      <c r="AE4" s="1478"/>
      <c r="AF4" s="1477"/>
      <c r="AG4" s="1478"/>
      <c r="AH4" s="1477"/>
      <c r="AI4" s="1478"/>
      <c r="AJ4" s="1477"/>
      <c r="AK4" s="1478"/>
      <c r="AL4" s="1477"/>
      <c r="AM4" s="1478"/>
      <c r="AN4" s="1477"/>
      <c r="AO4" s="1478"/>
      <c r="AP4" s="1477"/>
      <c r="AQ4" s="1478"/>
      <c r="AR4" s="1477"/>
    </row>
    <row r="5" spans="1:44" ht="15.75" customHeight="1" thickBot="1" x14ac:dyDescent="0.25">
      <c r="A5" s="198">
        <v>60</v>
      </c>
      <c r="B5" s="199" t="s">
        <v>115</v>
      </c>
      <c r="C5" s="200">
        <f t="shared" ref="C5:C36" si="1">SUM(D5:W5)</f>
        <v>8373.27</v>
      </c>
      <c r="D5" s="201">
        <f t="shared" ref="D5:W5" si="2">SUM(D6:D16)</f>
        <v>8373.27</v>
      </c>
      <c r="E5" s="1029">
        <f t="shared" ref="E5:F5" si="3">SUM(E6:E16)</f>
        <v>0</v>
      </c>
      <c r="F5" s="1030">
        <f t="shared" si="3"/>
        <v>0</v>
      </c>
      <c r="G5" s="202">
        <f t="shared" si="2"/>
        <v>0</v>
      </c>
      <c r="H5" s="203">
        <f t="shared" si="2"/>
        <v>0</v>
      </c>
      <c r="I5" s="202">
        <f t="shared" si="2"/>
        <v>0</v>
      </c>
      <c r="J5" s="203">
        <f t="shared" si="2"/>
        <v>0</v>
      </c>
      <c r="K5" s="202">
        <f t="shared" si="2"/>
        <v>0</v>
      </c>
      <c r="L5" s="203">
        <f t="shared" si="2"/>
        <v>0</v>
      </c>
      <c r="M5" s="202">
        <f t="shared" si="2"/>
        <v>0</v>
      </c>
      <c r="N5" s="203">
        <f t="shared" ref="N5:U5" si="4">SUM(N6:N16)</f>
        <v>0</v>
      </c>
      <c r="O5" s="204">
        <f t="shared" si="4"/>
        <v>0</v>
      </c>
      <c r="P5" s="203">
        <f t="shared" si="4"/>
        <v>0</v>
      </c>
      <c r="Q5" s="204">
        <f t="shared" si="4"/>
        <v>0</v>
      </c>
      <c r="R5" s="203">
        <f t="shared" si="4"/>
        <v>0</v>
      </c>
      <c r="S5" s="204">
        <f t="shared" si="4"/>
        <v>0</v>
      </c>
      <c r="T5" s="203">
        <f t="shared" si="4"/>
        <v>0</v>
      </c>
      <c r="U5" s="204">
        <f t="shared" si="4"/>
        <v>0</v>
      </c>
      <c r="V5" s="203">
        <f t="shared" si="2"/>
        <v>0</v>
      </c>
      <c r="W5" s="204">
        <f t="shared" si="2"/>
        <v>0</v>
      </c>
      <c r="X5" s="205">
        <v>70</v>
      </c>
      <c r="Y5" s="206" t="s">
        <v>52</v>
      </c>
      <c r="Z5" s="207">
        <f t="shared" ref="Z5:Z36" si="5">SUM(AA5:AR5)</f>
        <v>23722.97</v>
      </c>
      <c r="AA5" s="208">
        <f>SUM(AA6:AA16)</f>
        <v>23722.97</v>
      </c>
      <c r="AB5" s="1031">
        <f t="shared" ref="AB5:AC5" si="6">SUM(AB6:AB16)</f>
        <v>0</v>
      </c>
      <c r="AC5" s="1030">
        <f t="shared" si="6"/>
        <v>0</v>
      </c>
      <c r="AD5" s="209">
        <f t="shared" ref="AD5:AR5" si="7">SUM(AD6:AD16)</f>
        <v>0</v>
      </c>
      <c r="AE5" s="208">
        <f t="shared" si="7"/>
        <v>0</v>
      </c>
      <c r="AF5" s="209">
        <f t="shared" si="7"/>
        <v>0</v>
      </c>
      <c r="AG5" s="208">
        <f t="shared" si="7"/>
        <v>0</v>
      </c>
      <c r="AH5" s="209">
        <f t="shared" si="7"/>
        <v>0</v>
      </c>
      <c r="AI5" s="208">
        <f t="shared" si="7"/>
        <v>0</v>
      </c>
      <c r="AJ5" s="209">
        <f t="shared" si="7"/>
        <v>0</v>
      </c>
      <c r="AK5" s="208">
        <f t="shared" ref="AK5:AP5" si="8">SUM(AK6:AK16)</f>
        <v>0</v>
      </c>
      <c r="AL5" s="210">
        <f t="shared" si="8"/>
        <v>0</v>
      </c>
      <c r="AM5" s="208">
        <f t="shared" si="8"/>
        <v>0</v>
      </c>
      <c r="AN5" s="210">
        <f t="shared" si="8"/>
        <v>0</v>
      </c>
      <c r="AO5" s="208">
        <f t="shared" si="8"/>
        <v>0</v>
      </c>
      <c r="AP5" s="210">
        <f t="shared" si="8"/>
        <v>0</v>
      </c>
      <c r="AQ5" s="208">
        <f t="shared" si="7"/>
        <v>0</v>
      </c>
      <c r="AR5" s="210">
        <f t="shared" si="7"/>
        <v>0</v>
      </c>
    </row>
    <row r="6" spans="1:44" ht="12.75" thickBot="1" x14ac:dyDescent="0.25">
      <c r="A6" s="211">
        <v>6040000</v>
      </c>
      <c r="B6" s="1032" t="s">
        <v>116</v>
      </c>
      <c r="C6" s="212">
        <f t="shared" si="1"/>
        <v>0</v>
      </c>
      <c r="D6" s="1033">
        <f>'Budget CR'!C10</f>
        <v>0</v>
      </c>
      <c r="E6" s="1034"/>
      <c r="F6" s="1035"/>
      <c r="G6" s="1036"/>
      <c r="H6" s="1037"/>
      <c r="I6" s="1036"/>
      <c r="J6" s="1037"/>
      <c r="K6" s="1036"/>
      <c r="L6" s="1037"/>
      <c r="M6" s="1036"/>
      <c r="N6" s="1037"/>
      <c r="O6" s="1036"/>
      <c r="P6" s="1037"/>
      <c r="Q6" s="1036"/>
      <c r="R6" s="1037"/>
      <c r="S6" s="1036"/>
      <c r="T6" s="1037"/>
      <c r="U6" s="1036"/>
      <c r="V6" s="1037"/>
      <c r="W6" s="1036"/>
      <c r="X6" s="211">
        <v>7060000</v>
      </c>
      <c r="Y6" s="1038" t="s">
        <v>53</v>
      </c>
      <c r="Z6" s="213">
        <f t="shared" si="5"/>
        <v>16175</v>
      </c>
      <c r="AA6" s="1039">
        <f>'Budget CR'!H10</f>
        <v>16175</v>
      </c>
      <c r="AB6" s="1040"/>
      <c r="AC6" s="1035"/>
      <c r="AD6" s="1041"/>
      <c r="AE6" s="1037"/>
      <c r="AF6" s="1041"/>
      <c r="AG6" s="1037"/>
      <c r="AH6" s="1041"/>
      <c r="AI6" s="1037"/>
      <c r="AJ6" s="1041"/>
      <c r="AK6" s="1037"/>
      <c r="AL6" s="1042"/>
      <c r="AM6" s="1037"/>
      <c r="AN6" s="1042"/>
      <c r="AO6" s="1037"/>
      <c r="AP6" s="1042"/>
      <c r="AQ6" s="1037"/>
      <c r="AR6" s="1042"/>
    </row>
    <row r="7" spans="1:44" ht="12.75" thickBot="1" x14ac:dyDescent="0.25">
      <c r="A7" s="214">
        <v>6040009</v>
      </c>
      <c r="B7" s="1043" t="s">
        <v>117</v>
      </c>
      <c r="C7" s="200">
        <f t="shared" si="1"/>
        <v>0</v>
      </c>
      <c r="D7" s="1033">
        <f>'Budget CR'!C11</f>
        <v>0</v>
      </c>
      <c r="E7" s="1044"/>
      <c r="F7" s="1045"/>
      <c r="G7" s="1046"/>
      <c r="H7" s="1047"/>
      <c r="I7" s="1046"/>
      <c r="J7" s="1047"/>
      <c r="K7" s="1046"/>
      <c r="L7" s="1047"/>
      <c r="M7" s="1046"/>
      <c r="N7" s="1047"/>
      <c r="O7" s="1046"/>
      <c r="P7" s="1047"/>
      <c r="Q7" s="1046"/>
      <c r="R7" s="1047"/>
      <c r="S7" s="1046"/>
      <c r="T7" s="1047"/>
      <c r="U7" s="1046"/>
      <c r="V7" s="1047"/>
      <c r="W7" s="1046"/>
      <c r="X7" s="214">
        <v>7060009</v>
      </c>
      <c r="Y7" s="1048" t="s">
        <v>54</v>
      </c>
      <c r="Z7" s="207">
        <f t="shared" si="5"/>
        <v>6647.97</v>
      </c>
      <c r="AA7" s="1039">
        <f>'Budget CR'!H11</f>
        <v>6647.97</v>
      </c>
      <c r="AB7" s="1049"/>
      <c r="AC7" s="1045"/>
      <c r="AD7" s="1050"/>
      <c r="AE7" s="1047"/>
      <c r="AF7" s="1050"/>
      <c r="AG7" s="1047"/>
      <c r="AH7" s="1050"/>
      <c r="AI7" s="1047"/>
      <c r="AJ7" s="1050"/>
      <c r="AK7" s="1047"/>
      <c r="AL7" s="1051"/>
      <c r="AM7" s="1047"/>
      <c r="AN7" s="1051"/>
      <c r="AO7" s="1047"/>
      <c r="AP7" s="1051"/>
      <c r="AQ7" s="1047"/>
      <c r="AR7" s="1051"/>
    </row>
    <row r="8" spans="1:44" ht="12.75" thickBot="1" x14ac:dyDescent="0.25">
      <c r="A8" s="214">
        <v>6061000</v>
      </c>
      <c r="B8" s="1043" t="s">
        <v>118</v>
      </c>
      <c r="C8" s="200">
        <f t="shared" si="1"/>
        <v>0</v>
      </c>
      <c r="D8" s="1033">
        <f>'Budget CR'!C12</f>
        <v>0</v>
      </c>
      <c r="E8" s="1044"/>
      <c r="F8" s="1045"/>
      <c r="G8" s="1046"/>
      <c r="H8" s="1047"/>
      <c r="I8" s="1046"/>
      <c r="J8" s="1047"/>
      <c r="K8" s="1046"/>
      <c r="L8" s="1047"/>
      <c r="M8" s="1046"/>
      <c r="N8" s="1047"/>
      <c r="O8" s="1046"/>
      <c r="P8" s="1047"/>
      <c r="Q8" s="1046"/>
      <c r="R8" s="1047"/>
      <c r="S8" s="1046"/>
      <c r="T8" s="1047"/>
      <c r="U8" s="1046"/>
      <c r="V8" s="1047"/>
      <c r="W8" s="1046"/>
      <c r="X8" s="214">
        <v>7061000</v>
      </c>
      <c r="Y8" s="1048" t="s">
        <v>55</v>
      </c>
      <c r="Z8" s="207">
        <f t="shared" si="5"/>
        <v>0</v>
      </c>
      <c r="AA8" s="1039">
        <f>'Budget CR'!H12</f>
        <v>0</v>
      </c>
      <c r="AB8" s="1049"/>
      <c r="AC8" s="1045"/>
      <c r="AD8" s="1050"/>
      <c r="AE8" s="1047"/>
      <c r="AF8" s="1050"/>
      <c r="AG8" s="1047"/>
      <c r="AH8" s="1050"/>
      <c r="AI8" s="1047"/>
      <c r="AJ8" s="1050"/>
      <c r="AK8" s="1047"/>
      <c r="AL8" s="1051"/>
      <c r="AM8" s="1047"/>
      <c r="AN8" s="1051"/>
      <c r="AO8" s="1047"/>
      <c r="AP8" s="1051"/>
      <c r="AQ8" s="1047"/>
      <c r="AR8" s="1051"/>
    </row>
    <row r="9" spans="1:44" ht="12.75" thickBot="1" x14ac:dyDescent="0.25">
      <c r="A9" s="214">
        <v>6062000</v>
      </c>
      <c r="B9" s="1043" t="s">
        <v>106</v>
      </c>
      <c r="C9" s="200">
        <f t="shared" si="1"/>
        <v>7218.27</v>
      </c>
      <c r="D9" s="1033">
        <f>'Budget CR'!C13</f>
        <v>7218.27</v>
      </c>
      <c r="E9" s="1044"/>
      <c r="F9" s="1045"/>
      <c r="G9" s="1046"/>
      <c r="H9" s="1047"/>
      <c r="I9" s="1046"/>
      <c r="J9" s="1047"/>
      <c r="K9" s="1046"/>
      <c r="L9" s="1047"/>
      <c r="M9" s="1046"/>
      <c r="N9" s="1047"/>
      <c r="O9" s="1046"/>
      <c r="P9" s="1047"/>
      <c r="Q9" s="1046"/>
      <c r="R9" s="1047"/>
      <c r="S9" s="1046"/>
      <c r="T9" s="1047"/>
      <c r="U9" s="1046"/>
      <c r="V9" s="1047"/>
      <c r="W9" s="1046"/>
      <c r="X9" s="214">
        <v>7070000</v>
      </c>
      <c r="Y9" s="1048" t="s">
        <v>56</v>
      </c>
      <c r="Z9" s="207">
        <f t="shared" si="5"/>
        <v>0</v>
      </c>
      <c r="AA9" s="1039">
        <f>'Budget CR'!H13</f>
        <v>0</v>
      </c>
      <c r="AB9" s="1049"/>
      <c r="AC9" s="1045"/>
      <c r="AD9" s="1050"/>
      <c r="AE9" s="1047"/>
      <c r="AF9" s="1050"/>
      <c r="AG9" s="1047"/>
      <c r="AH9" s="1050"/>
      <c r="AI9" s="1047"/>
      <c r="AJ9" s="1050"/>
      <c r="AK9" s="1047"/>
      <c r="AL9" s="1051"/>
      <c r="AM9" s="1047"/>
      <c r="AN9" s="1051"/>
      <c r="AO9" s="1047"/>
      <c r="AP9" s="1051"/>
      <c r="AQ9" s="1047"/>
      <c r="AR9" s="1051"/>
    </row>
    <row r="10" spans="1:44" ht="13.5" thickBot="1" x14ac:dyDescent="0.25">
      <c r="A10" s="214">
        <v>6063000</v>
      </c>
      <c r="B10" s="1043" t="s">
        <v>107</v>
      </c>
      <c r="C10" s="200">
        <f t="shared" si="1"/>
        <v>855</v>
      </c>
      <c r="D10" s="1033">
        <f>'Budget CR'!C14</f>
        <v>855</v>
      </c>
      <c r="E10" s="1044"/>
      <c r="F10" s="1045"/>
      <c r="G10" s="1046"/>
      <c r="H10" s="1047"/>
      <c r="I10" s="1046"/>
      <c r="J10" s="1047"/>
      <c r="K10" s="1046"/>
      <c r="L10" s="1047"/>
      <c r="M10" s="1046"/>
      <c r="N10" s="1047"/>
      <c r="O10" s="1046"/>
      <c r="P10" s="1047"/>
      <c r="Q10" s="1046"/>
      <c r="R10" s="1047"/>
      <c r="S10" s="1046"/>
      <c r="T10" s="1047"/>
      <c r="U10" s="1046"/>
      <c r="V10" s="1047"/>
      <c r="W10" s="1046"/>
      <c r="X10" s="214">
        <v>7070009</v>
      </c>
      <c r="Y10" s="1052" t="s">
        <v>57</v>
      </c>
      <c r="Z10" s="207">
        <f t="shared" si="5"/>
        <v>0</v>
      </c>
      <c r="AA10" s="1039">
        <f>'Budget CR'!H14</f>
        <v>0</v>
      </c>
      <c r="AB10" s="1049"/>
      <c r="AC10" s="1045"/>
      <c r="AD10" s="1050"/>
      <c r="AE10" s="1047"/>
      <c r="AF10" s="1050"/>
      <c r="AG10" s="1047"/>
      <c r="AH10" s="1050"/>
      <c r="AI10" s="1047"/>
      <c r="AJ10" s="1050"/>
      <c r="AK10" s="1047"/>
      <c r="AL10" s="1051"/>
      <c r="AM10" s="1047"/>
      <c r="AN10" s="1051"/>
      <c r="AO10" s="1047"/>
      <c r="AP10" s="1051"/>
      <c r="AQ10" s="1047"/>
      <c r="AR10" s="1051"/>
    </row>
    <row r="11" spans="1:44" ht="12.75" thickBot="1" x14ac:dyDescent="0.25">
      <c r="A11" s="214">
        <v>6064000</v>
      </c>
      <c r="B11" s="1043" t="s">
        <v>119</v>
      </c>
      <c r="C11" s="200">
        <f t="shared" si="1"/>
        <v>0</v>
      </c>
      <c r="D11" s="1033">
        <f>'Budget CR'!C15</f>
        <v>0</v>
      </c>
      <c r="E11" s="1044"/>
      <c r="F11" s="1045"/>
      <c r="G11" s="1046"/>
      <c r="H11" s="1047"/>
      <c r="I11" s="1046"/>
      <c r="J11" s="1047"/>
      <c r="K11" s="1046"/>
      <c r="L11" s="1047"/>
      <c r="M11" s="1046"/>
      <c r="N11" s="1047"/>
      <c r="O11" s="1046"/>
      <c r="P11" s="1047"/>
      <c r="Q11" s="1046"/>
      <c r="R11" s="1047"/>
      <c r="S11" s="1046"/>
      <c r="T11" s="1047"/>
      <c r="U11" s="1046"/>
      <c r="V11" s="1047"/>
      <c r="W11" s="1046"/>
      <c r="X11" s="214">
        <v>7083000</v>
      </c>
      <c r="Y11" s="1048" t="s">
        <v>58</v>
      </c>
      <c r="Z11" s="207">
        <f t="shared" si="5"/>
        <v>0</v>
      </c>
      <c r="AA11" s="1039">
        <f>'Budget CR'!H15</f>
        <v>0</v>
      </c>
      <c r="AB11" s="1049"/>
      <c r="AC11" s="1045"/>
      <c r="AD11" s="1050"/>
      <c r="AE11" s="1047"/>
      <c r="AF11" s="1050"/>
      <c r="AG11" s="1047"/>
      <c r="AH11" s="1050"/>
      <c r="AI11" s="1047"/>
      <c r="AJ11" s="1050"/>
      <c r="AK11" s="1047"/>
      <c r="AL11" s="1051"/>
      <c r="AM11" s="1047"/>
      <c r="AN11" s="1051"/>
      <c r="AO11" s="1047"/>
      <c r="AP11" s="1051"/>
      <c r="AQ11" s="1047"/>
      <c r="AR11" s="1051"/>
    </row>
    <row r="12" spans="1:44" ht="12.75" thickBot="1" x14ac:dyDescent="0.25">
      <c r="A12" s="214">
        <v>6065000</v>
      </c>
      <c r="B12" s="1043" t="s">
        <v>108</v>
      </c>
      <c r="C12" s="200">
        <f t="shared" si="1"/>
        <v>100</v>
      </c>
      <c r="D12" s="1033">
        <f>'Budget CR'!C16</f>
        <v>100</v>
      </c>
      <c r="E12" s="1044"/>
      <c r="F12" s="1045"/>
      <c r="G12" s="1046"/>
      <c r="H12" s="1047"/>
      <c r="I12" s="1046"/>
      <c r="J12" s="1047"/>
      <c r="K12" s="1046"/>
      <c r="L12" s="1047"/>
      <c r="M12" s="1046"/>
      <c r="N12" s="1047"/>
      <c r="O12" s="1046"/>
      <c r="P12" s="1047"/>
      <c r="Q12" s="1046"/>
      <c r="R12" s="1047"/>
      <c r="S12" s="1046"/>
      <c r="T12" s="1047"/>
      <c r="U12" s="1046"/>
      <c r="V12" s="1047"/>
      <c r="W12" s="1046"/>
      <c r="X12" s="214">
        <v>7083009</v>
      </c>
      <c r="Y12" s="1048" t="s">
        <v>59</v>
      </c>
      <c r="Z12" s="207">
        <f t="shared" si="5"/>
        <v>0</v>
      </c>
      <c r="AA12" s="1039">
        <f>'Budget CR'!H16</f>
        <v>0</v>
      </c>
      <c r="AB12" s="1049"/>
      <c r="AC12" s="1045"/>
      <c r="AD12" s="1050"/>
      <c r="AE12" s="1047"/>
      <c r="AF12" s="1050"/>
      <c r="AG12" s="1047"/>
      <c r="AH12" s="1050"/>
      <c r="AI12" s="1047"/>
      <c r="AJ12" s="1050"/>
      <c r="AK12" s="1047"/>
      <c r="AL12" s="1051"/>
      <c r="AM12" s="1047"/>
      <c r="AN12" s="1051"/>
      <c r="AO12" s="1047"/>
      <c r="AP12" s="1051"/>
      <c r="AQ12" s="1047"/>
      <c r="AR12" s="1051"/>
    </row>
    <row r="13" spans="1:44" ht="12.75" thickBot="1" x14ac:dyDescent="0.25">
      <c r="A13" s="214">
        <v>6066000</v>
      </c>
      <c r="B13" s="1043" t="s">
        <v>110</v>
      </c>
      <c r="C13" s="200">
        <f t="shared" si="1"/>
        <v>0</v>
      </c>
      <c r="D13" s="1033">
        <f>'Budget CR'!C17</f>
        <v>0</v>
      </c>
      <c r="E13" s="1044"/>
      <c r="F13" s="1045"/>
      <c r="G13" s="1046"/>
      <c r="H13" s="1047"/>
      <c r="I13" s="1046"/>
      <c r="J13" s="1047"/>
      <c r="K13" s="1046"/>
      <c r="L13" s="1047"/>
      <c r="M13" s="1046"/>
      <c r="N13" s="1047"/>
      <c r="O13" s="1046"/>
      <c r="P13" s="1047"/>
      <c r="Q13" s="1046"/>
      <c r="R13" s="1047"/>
      <c r="S13" s="1046"/>
      <c r="T13" s="1047"/>
      <c r="U13" s="1046"/>
      <c r="V13" s="1047"/>
      <c r="W13" s="1046"/>
      <c r="X13" s="214">
        <v>7080000</v>
      </c>
      <c r="Y13" s="1048" t="s">
        <v>60</v>
      </c>
      <c r="Z13" s="207">
        <f t="shared" si="5"/>
        <v>900</v>
      </c>
      <c r="AA13" s="1039">
        <f>'Budget CR'!H17</f>
        <v>900</v>
      </c>
      <c r="AB13" s="1049"/>
      <c r="AC13" s="1045"/>
      <c r="AD13" s="1050"/>
      <c r="AE13" s="1047"/>
      <c r="AF13" s="1050"/>
      <c r="AG13" s="1047"/>
      <c r="AH13" s="1050"/>
      <c r="AI13" s="1047"/>
      <c r="AJ13" s="1050"/>
      <c r="AK13" s="1047"/>
      <c r="AL13" s="1051"/>
      <c r="AM13" s="1047"/>
      <c r="AN13" s="1051"/>
      <c r="AO13" s="1047"/>
      <c r="AP13" s="1051"/>
      <c r="AQ13" s="1047"/>
      <c r="AR13" s="1051"/>
    </row>
    <row r="14" spans="1:44" ht="12.75" thickBot="1" x14ac:dyDescent="0.25">
      <c r="A14" s="214">
        <v>6068000</v>
      </c>
      <c r="B14" s="1043" t="s">
        <v>120</v>
      </c>
      <c r="C14" s="200">
        <f t="shared" si="1"/>
        <v>200</v>
      </c>
      <c r="D14" s="1033">
        <f>'Budget CR'!C18</f>
        <v>200</v>
      </c>
      <c r="E14" s="1044"/>
      <c r="F14" s="1045"/>
      <c r="G14" s="1046"/>
      <c r="H14" s="1047"/>
      <c r="I14" s="1046"/>
      <c r="J14" s="1047"/>
      <c r="K14" s="1046"/>
      <c r="L14" s="1047"/>
      <c r="M14" s="1046"/>
      <c r="N14" s="1047"/>
      <c r="O14" s="1046"/>
      <c r="P14" s="1047"/>
      <c r="Q14" s="1046"/>
      <c r="R14" s="1047"/>
      <c r="S14" s="1046"/>
      <c r="T14" s="1047"/>
      <c r="U14" s="1046"/>
      <c r="V14" s="1047"/>
      <c r="W14" s="1046"/>
      <c r="X14" s="214">
        <v>7080009</v>
      </c>
      <c r="Y14" s="1048" t="s">
        <v>61</v>
      </c>
      <c r="Z14" s="207">
        <f t="shared" si="5"/>
        <v>0</v>
      </c>
      <c r="AA14" s="1039">
        <f>'Budget CR'!H18</f>
        <v>0</v>
      </c>
      <c r="AB14" s="1049"/>
      <c r="AC14" s="1045"/>
      <c r="AD14" s="1050"/>
      <c r="AE14" s="1047"/>
      <c r="AF14" s="1050"/>
      <c r="AG14" s="1047"/>
      <c r="AH14" s="1050"/>
      <c r="AI14" s="1047"/>
      <c r="AJ14" s="1050"/>
      <c r="AK14" s="1047"/>
      <c r="AL14" s="1051"/>
      <c r="AM14" s="1047"/>
      <c r="AN14" s="1051"/>
      <c r="AO14" s="1047"/>
      <c r="AP14" s="1051"/>
      <c r="AQ14" s="1047"/>
      <c r="AR14" s="1051"/>
    </row>
    <row r="15" spans="1:44" ht="12.75" thickBot="1" x14ac:dyDescent="0.25">
      <c r="A15" s="214">
        <v>6070000</v>
      </c>
      <c r="B15" s="1043" t="s">
        <v>121</v>
      </c>
      <c r="C15" s="200">
        <f t="shared" si="1"/>
        <v>0</v>
      </c>
      <c r="D15" s="1033">
        <f>'Budget CR'!C19</f>
        <v>0</v>
      </c>
      <c r="E15" s="1044"/>
      <c r="F15" s="1045"/>
      <c r="G15" s="1046"/>
      <c r="H15" s="1047"/>
      <c r="I15" s="1046"/>
      <c r="J15" s="1047"/>
      <c r="K15" s="1046"/>
      <c r="L15" s="1047"/>
      <c r="M15" s="1046"/>
      <c r="N15" s="1047"/>
      <c r="O15" s="1046"/>
      <c r="P15" s="1047"/>
      <c r="Q15" s="1046"/>
      <c r="R15" s="1047"/>
      <c r="S15" s="1046"/>
      <c r="T15" s="1047"/>
      <c r="U15" s="1046"/>
      <c r="V15" s="1047"/>
      <c r="W15" s="1046"/>
      <c r="X15" s="214"/>
      <c r="Y15" s="1048"/>
      <c r="Z15" s="207">
        <f t="shared" si="5"/>
        <v>0</v>
      </c>
      <c r="AA15" s="1053"/>
      <c r="AB15" s="1049"/>
      <c r="AC15" s="1045"/>
      <c r="AD15" s="1050"/>
      <c r="AE15" s="1047"/>
      <c r="AF15" s="1050"/>
      <c r="AG15" s="1047"/>
      <c r="AH15" s="1050"/>
      <c r="AI15" s="1047"/>
      <c r="AJ15" s="1050"/>
      <c r="AK15" s="1047"/>
      <c r="AL15" s="1051"/>
      <c r="AM15" s="1047"/>
      <c r="AN15" s="1051"/>
      <c r="AO15" s="1047"/>
      <c r="AP15" s="1051"/>
      <c r="AQ15" s="1047"/>
      <c r="AR15" s="1051"/>
    </row>
    <row r="16" spans="1:44" ht="15.75" customHeight="1" thickBot="1" x14ac:dyDescent="0.25">
      <c r="A16" s="1054">
        <v>6070009</v>
      </c>
      <c r="B16" s="1055" t="s">
        <v>122</v>
      </c>
      <c r="C16" s="200">
        <f t="shared" si="1"/>
        <v>0</v>
      </c>
      <c r="D16" s="1033">
        <f>'Budget CR'!C20</f>
        <v>0</v>
      </c>
      <c r="E16" s="1056"/>
      <c r="F16" s="1057"/>
      <c r="G16" s="1058"/>
      <c r="H16" s="1059"/>
      <c r="I16" s="1058"/>
      <c r="J16" s="1059"/>
      <c r="K16" s="1058"/>
      <c r="L16" s="1059"/>
      <c r="M16" s="1058"/>
      <c r="N16" s="1059"/>
      <c r="O16" s="1058"/>
      <c r="P16" s="1059"/>
      <c r="Q16" s="1058"/>
      <c r="R16" s="1059"/>
      <c r="S16" s="1058"/>
      <c r="T16" s="1059"/>
      <c r="U16" s="1058"/>
      <c r="V16" s="1059"/>
      <c r="W16" s="1058"/>
      <c r="X16" s="215"/>
      <c r="Y16" s="1060"/>
      <c r="Z16" s="216">
        <f t="shared" si="5"/>
        <v>0</v>
      </c>
      <c r="AA16" s="1061"/>
      <c r="AB16" s="1062"/>
      <c r="AC16" s="1057"/>
      <c r="AD16" s="1063"/>
      <c r="AE16" s="1059"/>
      <c r="AF16" s="1063"/>
      <c r="AG16" s="1059"/>
      <c r="AH16" s="1063"/>
      <c r="AI16" s="1059"/>
      <c r="AJ16" s="1063"/>
      <c r="AK16" s="1059"/>
      <c r="AL16" s="1064"/>
      <c r="AM16" s="1059"/>
      <c r="AN16" s="1064"/>
      <c r="AO16" s="1059"/>
      <c r="AP16" s="1064"/>
      <c r="AQ16" s="1059"/>
      <c r="AR16" s="1064"/>
    </row>
    <row r="17" spans="1:44" ht="15.75" customHeight="1" thickBot="1" x14ac:dyDescent="0.25">
      <c r="A17" s="198">
        <v>61</v>
      </c>
      <c r="B17" s="199" t="s">
        <v>123</v>
      </c>
      <c r="C17" s="200">
        <f t="shared" si="1"/>
        <v>14136.05</v>
      </c>
      <c r="D17" s="203">
        <f t="shared" ref="D17:W17" si="9">SUM(D18:D27)</f>
        <v>14136.05</v>
      </c>
      <c r="E17" s="1029">
        <f t="shared" ref="E17:F17" si="10">SUM(E18:E27)</f>
        <v>0</v>
      </c>
      <c r="F17" s="1030">
        <f t="shared" si="10"/>
        <v>0</v>
      </c>
      <c r="G17" s="202">
        <f t="shared" si="9"/>
        <v>0</v>
      </c>
      <c r="H17" s="203">
        <f t="shared" si="9"/>
        <v>0</v>
      </c>
      <c r="I17" s="202">
        <f t="shared" si="9"/>
        <v>0</v>
      </c>
      <c r="J17" s="203">
        <f t="shared" si="9"/>
        <v>0</v>
      </c>
      <c r="K17" s="202">
        <f t="shared" si="9"/>
        <v>0</v>
      </c>
      <c r="L17" s="203">
        <f t="shared" si="9"/>
        <v>0</v>
      </c>
      <c r="M17" s="202">
        <f t="shared" si="9"/>
        <v>0</v>
      </c>
      <c r="N17" s="203">
        <f t="shared" ref="N17:U17" si="11">SUM(N18:N27)</f>
        <v>0</v>
      </c>
      <c r="O17" s="202">
        <f t="shared" si="11"/>
        <v>0</v>
      </c>
      <c r="P17" s="203">
        <f t="shared" si="11"/>
        <v>0</v>
      </c>
      <c r="Q17" s="202">
        <f t="shared" si="11"/>
        <v>0</v>
      </c>
      <c r="R17" s="203">
        <f t="shared" si="11"/>
        <v>0</v>
      </c>
      <c r="S17" s="202">
        <f t="shared" si="11"/>
        <v>0</v>
      </c>
      <c r="T17" s="203">
        <f t="shared" si="11"/>
        <v>0</v>
      </c>
      <c r="U17" s="202">
        <f t="shared" si="11"/>
        <v>0</v>
      </c>
      <c r="V17" s="203">
        <f t="shared" si="9"/>
        <v>0</v>
      </c>
      <c r="W17" s="202">
        <f t="shared" si="9"/>
        <v>0</v>
      </c>
      <c r="X17" s="205">
        <v>74</v>
      </c>
      <c r="Y17" s="206" t="s">
        <v>35</v>
      </c>
      <c r="Z17" s="217">
        <f t="shared" si="5"/>
        <v>10320</v>
      </c>
      <c r="AA17" s="203">
        <f t="shared" ref="AA17:AR17" si="12">SUM(AA18:AA26)</f>
        <v>10320</v>
      </c>
      <c r="AB17" s="1031">
        <f t="shared" ref="AB17:AC17" si="13">SUM(AB18:AB26)</f>
        <v>0</v>
      </c>
      <c r="AC17" s="1030">
        <f t="shared" si="13"/>
        <v>0</v>
      </c>
      <c r="AD17" s="218">
        <f t="shared" si="12"/>
        <v>0</v>
      </c>
      <c r="AE17" s="203">
        <f t="shared" si="12"/>
        <v>0</v>
      </c>
      <c r="AF17" s="218">
        <f t="shared" si="12"/>
        <v>0</v>
      </c>
      <c r="AG17" s="203">
        <f t="shared" si="12"/>
        <v>0</v>
      </c>
      <c r="AH17" s="218">
        <f t="shared" si="12"/>
        <v>0</v>
      </c>
      <c r="AI17" s="203">
        <f t="shared" si="12"/>
        <v>0</v>
      </c>
      <c r="AJ17" s="218">
        <f t="shared" si="12"/>
        <v>0</v>
      </c>
      <c r="AK17" s="203">
        <f t="shared" ref="AK17:AP17" si="14">SUM(AK18:AK26)</f>
        <v>0</v>
      </c>
      <c r="AL17" s="219">
        <f t="shared" si="14"/>
        <v>0</v>
      </c>
      <c r="AM17" s="203">
        <f t="shared" si="14"/>
        <v>0</v>
      </c>
      <c r="AN17" s="219">
        <f t="shared" si="14"/>
        <v>0</v>
      </c>
      <c r="AO17" s="203">
        <f t="shared" si="14"/>
        <v>0</v>
      </c>
      <c r="AP17" s="219">
        <f t="shared" si="14"/>
        <v>0</v>
      </c>
      <c r="AQ17" s="203">
        <f t="shared" si="12"/>
        <v>0</v>
      </c>
      <c r="AR17" s="219">
        <f t="shared" si="12"/>
        <v>0</v>
      </c>
    </row>
    <row r="18" spans="1:44" ht="12.75" thickBot="1" x14ac:dyDescent="0.25">
      <c r="A18" s="220">
        <v>6132000</v>
      </c>
      <c r="B18" s="221" t="s">
        <v>124</v>
      </c>
      <c r="C18" s="200">
        <f t="shared" si="1"/>
        <v>4320</v>
      </c>
      <c r="D18" s="1033">
        <f>'Budget CR'!C22</f>
        <v>4320</v>
      </c>
      <c r="E18" s="1034"/>
      <c r="F18" s="1035"/>
      <c r="G18" s="1036"/>
      <c r="H18" s="1037"/>
      <c r="I18" s="1036"/>
      <c r="J18" s="1037"/>
      <c r="K18" s="1036"/>
      <c r="L18" s="1037"/>
      <c r="M18" s="1036"/>
      <c r="N18" s="1037"/>
      <c r="O18" s="1036"/>
      <c r="P18" s="1037"/>
      <c r="Q18" s="1036"/>
      <c r="R18" s="1037"/>
      <c r="S18" s="1036"/>
      <c r="T18" s="1037"/>
      <c r="U18" s="1036"/>
      <c r="V18" s="1037"/>
      <c r="W18" s="1036"/>
      <c r="X18" s="1065">
        <v>7410000</v>
      </c>
      <c r="Y18" s="1038" t="s">
        <v>62</v>
      </c>
      <c r="Z18" s="222">
        <f t="shared" si="5"/>
        <v>6000</v>
      </c>
      <c r="AA18" s="1066">
        <f>'Budget CR'!H22</f>
        <v>6000</v>
      </c>
      <c r="AB18" s="1040"/>
      <c r="AC18" s="1035"/>
      <c r="AD18" s="1041"/>
      <c r="AE18" s="1037"/>
      <c r="AF18" s="1041"/>
      <c r="AG18" s="1037"/>
      <c r="AH18" s="1041"/>
      <c r="AI18" s="1037"/>
      <c r="AJ18" s="1041"/>
      <c r="AK18" s="1037"/>
      <c r="AL18" s="1042"/>
      <c r="AM18" s="1037"/>
      <c r="AN18" s="1042"/>
      <c r="AO18" s="1037"/>
      <c r="AP18" s="1042"/>
      <c r="AQ18" s="1037"/>
      <c r="AR18" s="1042"/>
    </row>
    <row r="19" spans="1:44" ht="12.75" thickBot="1" x14ac:dyDescent="0.25">
      <c r="A19" s="214">
        <v>6132009</v>
      </c>
      <c r="B19" s="1043" t="s">
        <v>109</v>
      </c>
      <c r="C19" s="200">
        <f t="shared" si="1"/>
        <v>8600</v>
      </c>
      <c r="D19" s="1033">
        <f>'Budget CR'!C23</f>
        <v>8600</v>
      </c>
      <c r="E19" s="1044"/>
      <c r="F19" s="1045"/>
      <c r="G19" s="1046"/>
      <c r="H19" s="1047"/>
      <c r="I19" s="1046"/>
      <c r="J19" s="1047"/>
      <c r="K19" s="1046"/>
      <c r="L19" s="1047"/>
      <c r="M19" s="1046"/>
      <c r="N19" s="1047"/>
      <c r="O19" s="1046"/>
      <c r="P19" s="1047"/>
      <c r="Q19" s="1046"/>
      <c r="R19" s="1047"/>
      <c r="S19" s="1046"/>
      <c r="T19" s="1047"/>
      <c r="U19" s="1046"/>
      <c r="V19" s="1047"/>
      <c r="W19" s="1046"/>
      <c r="X19" s="1067">
        <v>7411000</v>
      </c>
      <c r="Y19" s="1048" t="s">
        <v>63</v>
      </c>
      <c r="Z19" s="223">
        <f t="shared" si="5"/>
        <v>0</v>
      </c>
      <c r="AA19" s="1066">
        <f>'Budget CR'!H23</f>
        <v>0</v>
      </c>
      <c r="AB19" s="1049"/>
      <c r="AC19" s="1045"/>
      <c r="AD19" s="1050"/>
      <c r="AE19" s="1047"/>
      <c r="AF19" s="1050"/>
      <c r="AG19" s="1047"/>
      <c r="AH19" s="1050"/>
      <c r="AI19" s="1047"/>
      <c r="AJ19" s="1050"/>
      <c r="AK19" s="1047"/>
      <c r="AL19" s="1051"/>
      <c r="AM19" s="1047"/>
      <c r="AN19" s="1051"/>
      <c r="AO19" s="1047"/>
      <c r="AP19" s="1051"/>
      <c r="AQ19" s="1047"/>
      <c r="AR19" s="1051"/>
    </row>
    <row r="20" spans="1:44" ht="12.75" thickBot="1" x14ac:dyDescent="0.25">
      <c r="A20" s="214">
        <v>6135000</v>
      </c>
      <c r="B20" s="1043" t="s">
        <v>126</v>
      </c>
      <c r="C20" s="200">
        <f t="shared" si="1"/>
        <v>0</v>
      </c>
      <c r="D20" s="1033">
        <f>'Budget CR'!C24</f>
        <v>0</v>
      </c>
      <c r="E20" s="1044"/>
      <c r="F20" s="1045"/>
      <c r="G20" s="1046"/>
      <c r="H20" s="1047"/>
      <c r="I20" s="1046"/>
      <c r="J20" s="1047"/>
      <c r="K20" s="1046"/>
      <c r="L20" s="1047"/>
      <c r="M20" s="1046"/>
      <c r="N20" s="1047"/>
      <c r="O20" s="1046"/>
      <c r="P20" s="1047"/>
      <c r="Q20" s="1046"/>
      <c r="R20" s="1047"/>
      <c r="S20" s="1046"/>
      <c r="T20" s="1047"/>
      <c r="U20" s="1046"/>
      <c r="V20" s="1047"/>
      <c r="W20" s="1046"/>
      <c r="X20" s="1067">
        <v>7412000</v>
      </c>
      <c r="Y20" s="1048" t="s">
        <v>64</v>
      </c>
      <c r="Z20" s="223">
        <f t="shared" si="5"/>
        <v>0</v>
      </c>
      <c r="AA20" s="1066">
        <f>'Budget CR'!H24</f>
        <v>0</v>
      </c>
      <c r="AB20" s="1049"/>
      <c r="AC20" s="1045"/>
      <c r="AD20" s="1050"/>
      <c r="AE20" s="1047"/>
      <c r="AF20" s="1050"/>
      <c r="AG20" s="1047"/>
      <c r="AH20" s="1050"/>
      <c r="AI20" s="1047"/>
      <c r="AJ20" s="1050"/>
      <c r="AK20" s="1047"/>
      <c r="AL20" s="1051"/>
      <c r="AM20" s="1047"/>
      <c r="AN20" s="1051"/>
      <c r="AO20" s="1047"/>
      <c r="AP20" s="1051"/>
      <c r="AQ20" s="1047"/>
      <c r="AR20" s="1051"/>
    </row>
    <row r="21" spans="1:44" ht="12.75" thickBot="1" x14ac:dyDescent="0.25">
      <c r="A21" s="214">
        <v>6135009</v>
      </c>
      <c r="B21" s="1043" t="s">
        <v>127</v>
      </c>
      <c r="C21" s="200">
        <f t="shared" si="1"/>
        <v>0</v>
      </c>
      <c r="D21" s="1033">
        <f>'Budget CR'!C25</f>
        <v>0</v>
      </c>
      <c r="E21" s="1044"/>
      <c r="F21" s="1045"/>
      <c r="G21" s="1046"/>
      <c r="H21" s="1047"/>
      <c r="I21" s="1046"/>
      <c r="J21" s="1047"/>
      <c r="K21" s="1046"/>
      <c r="L21" s="1047"/>
      <c r="M21" s="1046"/>
      <c r="N21" s="1047"/>
      <c r="O21" s="1046"/>
      <c r="P21" s="1047"/>
      <c r="Q21" s="1046"/>
      <c r="R21" s="1047"/>
      <c r="S21" s="1046"/>
      <c r="T21" s="1047"/>
      <c r="U21" s="1046"/>
      <c r="V21" s="1047"/>
      <c r="W21" s="1046"/>
      <c r="X21" s="1067">
        <v>7413000</v>
      </c>
      <c r="Y21" s="1048" t="s">
        <v>65</v>
      </c>
      <c r="Z21" s="223">
        <f t="shared" si="5"/>
        <v>4320</v>
      </c>
      <c r="AA21" s="1066">
        <f>'Budget CR'!H25</f>
        <v>4320</v>
      </c>
      <c r="AB21" s="1049"/>
      <c r="AC21" s="1045"/>
      <c r="AD21" s="1050"/>
      <c r="AE21" s="1047"/>
      <c r="AF21" s="1050"/>
      <c r="AG21" s="1047"/>
      <c r="AH21" s="1050"/>
      <c r="AI21" s="1047"/>
      <c r="AJ21" s="1050"/>
      <c r="AK21" s="1047"/>
      <c r="AL21" s="1051"/>
      <c r="AM21" s="1047"/>
      <c r="AN21" s="1051"/>
      <c r="AO21" s="1047"/>
      <c r="AP21" s="1051"/>
      <c r="AQ21" s="1047"/>
      <c r="AR21" s="1051"/>
    </row>
    <row r="22" spans="1:44" ht="12.75" thickBot="1" x14ac:dyDescent="0.25">
      <c r="A22" s="214">
        <v>6140000</v>
      </c>
      <c r="B22" s="1043" t="s">
        <v>128</v>
      </c>
      <c r="C22" s="200">
        <f t="shared" si="1"/>
        <v>0</v>
      </c>
      <c r="D22" s="1033">
        <f>'Budget CR'!C26</f>
        <v>0</v>
      </c>
      <c r="E22" s="1044"/>
      <c r="F22" s="1045"/>
      <c r="G22" s="1046"/>
      <c r="H22" s="1047"/>
      <c r="I22" s="1046"/>
      <c r="J22" s="1047"/>
      <c r="K22" s="1046"/>
      <c r="L22" s="1047"/>
      <c r="M22" s="1046"/>
      <c r="N22" s="1047"/>
      <c r="O22" s="1046"/>
      <c r="P22" s="1047"/>
      <c r="Q22" s="1046"/>
      <c r="R22" s="1047"/>
      <c r="S22" s="1046"/>
      <c r="T22" s="1047"/>
      <c r="U22" s="1046"/>
      <c r="V22" s="1047"/>
      <c r="W22" s="1046"/>
      <c r="X22" s="1067">
        <v>7414000</v>
      </c>
      <c r="Y22" s="1048" t="s">
        <v>66</v>
      </c>
      <c r="Z22" s="223">
        <f t="shared" si="5"/>
        <v>0</v>
      </c>
      <c r="AA22" s="1066">
        <f>'Budget CR'!H26</f>
        <v>0</v>
      </c>
      <c r="AB22" s="1049"/>
      <c r="AC22" s="1045"/>
      <c r="AD22" s="1050"/>
      <c r="AE22" s="1047"/>
      <c r="AF22" s="1050"/>
      <c r="AG22" s="1047"/>
      <c r="AH22" s="1050"/>
      <c r="AI22" s="1047"/>
      <c r="AJ22" s="1050"/>
      <c r="AK22" s="1047"/>
      <c r="AL22" s="1051"/>
      <c r="AM22" s="1047"/>
      <c r="AN22" s="1051"/>
      <c r="AO22" s="1047"/>
      <c r="AP22" s="1051"/>
      <c r="AQ22" s="1047"/>
      <c r="AR22" s="1051"/>
    </row>
    <row r="23" spans="1:44" ht="12.75" thickBot="1" x14ac:dyDescent="0.25">
      <c r="A23" s="214">
        <v>6150000</v>
      </c>
      <c r="B23" s="1043" t="s">
        <v>129</v>
      </c>
      <c r="C23" s="200">
        <f t="shared" si="1"/>
        <v>200</v>
      </c>
      <c r="D23" s="1033">
        <f>'Budget CR'!C27</f>
        <v>200</v>
      </c>
      <c r="E23" s="1044"/>
      <c r="F23" s="1045"/>
      <c r="G23" s="1046"/>
      <c r="H23" s="1047"/>
      <c r="I23" s="1046"/>
      <c r="J23" s="1047"/>
      <c r="K23" s="1046"/>
      <c r="L23" s="1047"/>
      <c r="M23" s="1046"/>
      <c r="N23" s="1047"/>
      <c r="O23" s="1046"/>
      <c r="P23" s="1047"/>
      <c r="Q23" s="1046"/>
      <c r="R23" s="1047"/>
      <c r="S23" s="1046"/>
      <c r="T23" s="1047"/>
      <c r="U23" s="1046"/>
      <c r="V23" s="1047"/>
      <c r="W23" s="1046"/>
      <c r="X23" s="1067">
        <v>7414009</v>
      </c>
      <c r="Y23" s="1048" t="s">
        <v>67</v>
      </c>
      <c r="Z23" s="223">
        <f t="shared" si="5"/>
        <v>0</v>
      </c>
      <c r="AA23" s="1066">
        <f>'Budget CR'!H27</f>
        <v>0</v>
      </c>
      <c r="AB23" s="1049"/>
      <c r="AC23" s="1045"/>
      <c r="AD23" s="1050"/>
      <c r="AE23" s="1047"/>
      <c r="AF23" s="1050"/>
      <c r="AG23" s="1047"/>
      <c r="AH23" s="1050"/>
      <c r="AI23" s="1047"/>
      <c r="AJ23" s="1050"/>
      <c r="AK23" s="1047"/>
      <c r="AL23" s="1051"/>
      <c r="AM23" s="1047"/>
      <c r="AN23" s="1051"/>
      <c r="AO23" s="1047"/>
      <c r="AP23" s="1051"/>
      <c r="AQ23" s="1047"/>
      <c r="AR23" s="1051"/>
    </row>
    <row r="24" spans="1:44" ht="12.75" thickBot="1" x14ac:dyDescent="0.25">
      <c r="A24" s="214">
        <v>6160000</v>
      </c>
      <c r="B24" s="1043" t="s">
        <v>130</v>
      </c>
      <c r="C24" s="200">
        <f t="shared" si="1"/>
        <v>1016.05</v>
      </c>
      <c r="D24" s="1033">
        <f>'Budget CR'!C28</f>
        <v>1016.05</v>
      </c>
      <c r="E24" s="1044"/>
      <c r="F24" s="1045"/>
      <c r="G24" s="1046"/>
      <c r="H24" s="1047"/>
      <c r="I24" s="1046"/>
      <c r="J24" s="1047"/>
      <c r="K24" s="1046"/>
      <c r="L24" s="1047"/>
      <c r="M24" s="1046"/>
      <c r="N24" s="1047"/>
      <c r="O24" s="1046"/>
      <c r="P24" s="1047"/>
      <c r="Q24" s="1046"/>
      <c r="R24" s="1047"/>
      <c r="S24" s="1046"/>
      <c r="T24" s="1047"/>
      <c r="U24" s="1046"/>
      <c r="V24" s="1047"/>
      <c r="W24" s="1046"/>
      <c r="X24" s="1067">
        <v>7415000</v>
      </c>
      <c r="Y24" s="1048" t="s">
        <v>68</v>
      </c>
      <c r="Z24" s="223">
        <f t="shared" si="5"/>
        <v>0</v>
      </c>
      <c r="AA24" s="1066">
        <f>'Budget CR'!H28</f>
        <v>0</v>
      </c>
      <c r="AB24" s="1049"/>
      <c r="AC24" s="1045"/>
      <c r="AD24" s="1050"/>
      <c r="AE24" s="1047"/>
      <c r="AF24" s="1050"/>
      <c r="AG24" s="1047"/>
      <c r="AH24" s="1050"/>
      <c r="AI24" s="1047"/>
      <c r="AJ24" s="1050"/>
      <c r="AK24" s="1047"/>
      <c r="AL24" s="1051"/>
      <c r="AM24" s="1047"/>
      <c r="AN24" s="1051"/>
      <c r="AO24" s="1047"/>
      <c r="AP24" s="1051"/>
      <c r="AQ24" s="1047"/>
      <c r="AR24" s="1051"/>
    </row>
    <row r="25" spans="1:44" ht="15.75" customHeight="1" thickBot="1" x14ac:dyDescent="0.25">
      <c r="A25" s="214">
        <v>6180000</v>
      </c>
      <c r="B25" s="1043" t="s">
        <v>131</v>
      </c>
      <c r="C25" s="200">
        <f t="shared" si="1"/>
        <v>0</v>
      </c>
      <c r="D25" s="1033">
        <f>'Budget CR'!C29</f>
        <v>0</v>
      </c>
      <c r="E25" s="1044"/>
      <c r="F25" s="1045"/>
      <c r="G25" s="1046"/>
      <c r="H25" s="1047"/>
      <c r="I25" s="1046"/>
      <c r="J25" s="1047"/>
      <c r="K25" s="1046"/>
      <c r="L25" s="1047"/>
      <c r="M25" s="1046"/>
      <c r="N25" s="1047"/>
      <c r="O25" s="1046"/>
      <c r="P25" s="1047"/>
      <c r="Q25" s="1046"/>
      <c r="R25" s="1047"/>
      <c r="S25" s="1046"/>
      <c r="T25" s="1047"/>
      <c r="U25" s="1046"/>
      <c r="V25" s="1047"/>
      <c r="W25" s="1046"/>
      <c r="X25" s="1067">
        <v>7416000</v>
      </c>
      <c r="Y25" s="1048" t="s">
        <v>69</v>
      </c>
      <c r="Z25" s="223">
        <f t="shared" si="5"/>
        <v>0</v>
      </c>
      <c r="AA25" s="1066">
        <f>'Budget CR'!H29</f>
        <v>0</v>
      </c>
      <c r="AB25" s="1049"/>
      <c r="AC25" s="1045"/>
      <c r="AD25" s="1050"/>
      <c r="AE25" s="1047"/>
      <c r="AF25" s="1050"/>
      <c r="AG25" s="1047"/>
      <c r="AH25" s="1050"/>
      <c r="AI25" s="1047"/>
      <c r="AJ25" s="1050"/>
      <c r="AK25" s="1047"/>
      <c r="AL25" s="1051"/>
      <c r="AM25" s="1047"/>
      <c r="AN25" s="1051"/>
      <c r="AO25" s="1047"/>
      <c r="AP25" s="1051"/>
      <c r="AQ25" s="1047"/>
      <c r="AR25" s="1051"/>
    </row>
    <row r="26" spans="1:44" ht="15.75" customHeight="1" thickBot="1" x14ac:dyDescent="0.25">
      <c r="A26" s="214">
        <v>6180009</v>
      </c>
      <c r="B26" s="1043" t="s">
        <v>132</v>
      </c>
      <c r="C26" s="200">
        <f t="shared" si="1"/>
        <v>0</v>
      </c>
      <c r="D26" s="1033">
        <f>'Budget CR'!C30</f>
        <v>0</v>
      </c>
      <c r="E26" s="1068"/>
      <c r="F26" s="1069"/>
      <c r="G26" s="1070"/>
      <c r="H26" s="1071"/>
      <c r="I26" s="1070"/>
      <c r="J26" s="1071"/>
      <c r="K26" s="1070"/>
      <c r="L26" s="1071"/>
      <c r="M26" s="1070"/>
      <c r="N26" s="1071"/>
      <c r="O26" s="1070"/>
      <c r="P26" s="1071"/>
      <c r="Q26" s="1070"/>
      <c r="R26" s="1071"/>
      <c r="S26" s="1070"/>
      <c r="T26" s="1071"/>
      <c r="U26" s="1070"/>
      <c r="V26" s="1071"/>
      <c r="W26" s="1070"/>
      <c r="X26" s="1067">
        <v>7480000</v>
      </c>
      <c r="Y26" s="224" t="s">
        <v>70</v>
      </c>
      <c r="Z26" s="223">
        <f t="shared" si="5"/>
        <v>0</v>
      </c>
      <c r="AA26" s="1066">
        <f>'Budget CR'!H30</f>
        <v>0</v>
      </c>
      <c r="AB26" s="1072"/>
      <c r="AC26" s="1069"/>
      <c r="AD26" s="1073"/>
      <c r="AE26" s="1071"/>
      <c r="AF26" s="1073"/>
      <c r="AG26" s="1071"/>
      <c r="AH26" s="1073"/>
      <c r="AI26" s="1071"/>
      <c r="AJ26" s="1073"/>
      <c r="AK26" s="1071"/>
      <c r="AL26" s="1074"/>
      <c r="AM26" s="1071"/>
      <c r="AN26" s="1074"/>
      <c r="AO26" s="1071"/>
      <c r="AP26" s="1074"/>
      <c r="AQ26" s="1071"/>
      <c r="AR26" s="1074"/>
    </row>
    <row r="27" spans="1:44" ht="13.5" thickBot="1" x14ac:dyDescent="0.25">
      <c r="A27" s="1054">
        <v>6183000</v>
      </c>
      <c r="B27" s="1055" t="s">
        <v>133</v>
      </c>
      <c r="C27" s="200">
        <f t="shared" si="1"/>
        <v>0</v>
      </c>
      <c r="D27" s="1033">
        <f>'Budget CR'!C31</f>
        <v>0</v>
      </c>
      <c r="E27" s="1056"/>
      <c r="F27" s="1057"/>
      <c r="G27" s="1058"/>
      <c r="H27" s="1059"/>
      <c r="I27" s="1058"/>
      <c r="J27" s="1059"/>
      <c r="K27" s="1058"/>
      <c r="L27" s="1059"/>
      <c r="M27" s="1058"/>
      <c r="N27" s="1059"/>
      <c r="O27" s="1058"/>
      <c r="P27" s="1059"/>
      <c r="Q27" s="1058"/>
      <c r="R27" s="1059"/>
      <c r="S27" s="1058"/>
      <c r="T27" s="1059"/>
      <c r="U27" s="1058"/>
      <c r="V27" s="1059"/>
      <c r="W27" s="1058"/>
      <c r="X27" s="1067"/>
      <c r="Y27" s="224"/>
      <c r="Z27" s="223">
        <f t="shared" si="5"/>
        <v>0</v>
      </c>
      <c r="AA27" s="1075"/>
      <c r="AB27" s="1049"/>
      <c r="AC27" s="1045"/>
      <c r="AD27" s="1050"/>
      <c r="AE27" s="1047"/>
      <c r="AF27" s="1050"/>
      <c r="AG27" s="1047"/>
      <c r="AH27" s="1050"/>
      <c r="AI27" s="1047"/>
      <c r="AJ27" s="1050"/>
      <c r="AK27" s="1047"/>
      <c r="AL27" s="1051"/>
      <c r="AM27" s="1047"/>
      <c r="AN27" s="1051"/>
      <c r="AO27" s="1047"/>
      <c r="AP27" s="1051"/>
      <c r="AQ27" s="1047"/>
      <c r="AR27" s="1051"/>
    </row>
    <row r="28" spans="1:44" ht="13.5" thickBot="1" x14ac:dyDescent="0.25">
      <c r="A28" s="198">
        <v>62</v>
      </c>
      <c r="B28" s="199" t="s">
        <v>134</v>
      </c>
      <c r="C28" s="200">
        <f t="shared" si="1"/>
        <v>11706.7</v>
      </c>
      <c r="D28" s="225">
        <f t="shared" ref="D28:W28" si="15">SUM(D29:D36)</f>
        <v>11706.7</v>
      </c>
      <c r="E28" s="1076">
        <f t="shared" ref="E28:F28" si="16">SUM(E29:E36)</f>
        <v>0</v>
      </c>
      <c r="F28" s="1077">
        <f t="shared" si="16"/>
        <v>0</v>
      </c>
      <c r="G28" s="226">
        <f t="shared" si="15"/>
        <v>0</v>
      </c>
      <c r="H28" s="225">
        <f t="shared" si="15"/>
        <v>0</v>
      </c>
      <c r="I28" s="226">
        <f t="shared" si="15"/>
        <v>0</v>
      </c>
      <c r="J28" s="225">
        <f t="shared" si="15"/>
        <v>0</v>
      </c>
      <c r="K28" s="226">
        <f t="shared" si="15"/>
        <v>0</v>
      </c>
      <c r="L28" s="225">
        <f t="shared" si="15"/>
        <v>0</v>
      </c>
      <c r="M28" s="226">
        <f t="shared" si="15"/>
        <v>0</v>
      </c>
      <c r="N28" s="225">
        <f t="shared" ref="N28:U28" si="17">SUM(N29:N36)</f>
        <v>0</v>
      </c>
      <c r="O28" s="226">
        <f t="shared" si="17"/>
        <v>0</v>
      </c>
      <c r="P28" s="225">
        <f t="shared" si="17"/>
        <v>0</v>
      </c>
      <c r="Q28" s="226">
        <f t="shared" si="17"/>
        <v>0</v>
      </c>
      <c r="R28" s="225">
        <f t="shared" si="17"/>
        <v>0</v>
      </c>
      <c r="S28" s="226">
        <f t="shared" si="17"/>
        <v>0</v>
      </c>
      <c r="T28" s="225">
        <f t="shared" si="17"/>
        <v>0</v>
      </c>
      <c r="U28" s="226">
        <f t="shared" si="17"/>
        <v>0</v>
      </c>
      <c r="V28" s="225">
        <f t="shared" si="15"/>
        <v>0</v>
      </c>
      <c r="W28" s="226">
        <f t="shared" si="15"/>
        <v>0</v>
      </c>
      <c r="X28" s="1067"/>
      <c r="Y28" s="224"/>
      <c r="Z28" s="223">
        <f t="shared" si="5"/>
        <v>0</v>
      </c>
      <c r="AA28" s="1075"/>
      <c r="AB28" s="1049"/>
      <c r="AC28" s="1045"/>
      <c r="AD28" s="1050"/>
      <c r="AE28" s="1047"/>
      <c r="AF28" s="1050"/>
      <c r="AG28" s="1047"/>
      <c r="AH28" s="1050"/>
      <c r="AI28" s="1047"/>
      <c r="AJ28" s="1050"/>
      <c r="AK28" s="1047"/>
      <c r="AL28" s="1051"/>
      <c r="AM28" s="1047"/>
      <c r="AN28" s="1051"/>
      <c r="AO28" s="1047"/>
      <c r="AP28" s="1051"/>
      <c r="AQ28" s="1047"/>
      <c r="AR28" s="1051"/>
    </row>
    <row r="29" spans="1:44" ht="12.75" thickBot="1" x14ac:dyDescent="0.25">
      <c r="A29" s="220">
        <v>6226000</v>
      </c>
      <c r="B29" s="221" t="s">
        <v>135</v>
      </c>
      <c r="C29" s="200">
        <f t="shared" si="1"/>
        <v>0</v>
      </c>
      <c r="D29" s="1033">
        <f>'Budget CR'!C33</f>
        <v>0</v>
      </c>
      <c r="E29" s="1034"/>
      <c r="F29" s="1035"/>
      <c r="G29" s="1036"/>
      <c r="H29" s="1037"/>
      <c r="I29" s="1036"/>
      <c r="J29" s="1037"/>
      <c r="K29" s="1036"/>
      <c r="L29" s="1037"/>
      <c r="M29" s="1036"/>
      <c r="N29" s="1037"/>
      <c r="O29" s="1036"/>
      <c r="P29" s="1037"/>
      <c r="Q29" s="1036"/>
      <c r="R29" s="1037"/>
      <c r="S29" s="1036"/>
      <c r="T29" s="1037"/>
      <c r="U29" s="1036"/>
      <c r="V29" s="1037"/>
      <c r="W29" s="1036"/>
      <c r="X29" s="1067"/>
      <c r="Y29" s="1048"/>
      <c r="Z29" s="223">
        <f t="shared" si="5"/>
        <v>0</v>
      </c>
      <c r="AA29" s="1075"/>
      <c r="AB29" s="1049"/>
      <c r="AC29" s="1045"/>
      <c r="AD29" s="1050"/>
      <c r="AE29" s="1047"/>
      <c r="AF29" s="1050"/>
      <c r="AG29" s="1047"/>
      <c r="AH29" s="1050"/>
      <c r="AI29" s="1047"/>
      <c r="AJ29" s="1050"/>
      <c r="AK29" s="1047"/>
      <c r="AL29" s="1051"/>
      <c r="AM29" s="1047"/>
      <c r="AN29" s="1051"/>
      <c r="AO29" s="1047"/>
      <c r="AP29" s="1051"/>
      <c r="AQ29" s="1047"/>
      <c r="AR29" s="1051"/>
    </row>
    <row r="30" spans="1:44" ht="13.5" thickBot="1" x14ac:dyDescent="0.25">
      <c r="A30" s="214">
        <v>6230000</v>
      </c>
      <c r="B30" s="1043" t="s">
        <v>111</v>
      </c>
      <c r="C30" s="200">
        <f t="shared" si="1"/>
        <v>0</v>
      </c>
      <c r="D30" s="1033">
        <f>'Budget CR'!C34</f>
        <v>0</v>
      </c>
      <c r="E30" s="1044"/>
      <c r="F30" s="1045"/>
      <c r="G30" s="1046"/>
      <c r="H30" s="1047"/>
      <c r="I30" s="1046"/>
      <c r="J30" s="1047"/>
      <c r="K30" s="1046"/>
      <c r="L30" s="1047"/>
      <c r="M30" s="1046"/>
      <c r="N30" s="1047"/>
      <c r="O30" s="1046"/>
      <c r="P30" s="1047"/>
      <c r="Q30" s="1046"/>
      <c r="R30" s="1047"/>
      <c r="S30" s="1046"/>
      <c r="T30" s="1047"/>
      <c r="U30" s="1046"/>
      <c r="V30" s="1047"/>
      <c r="W30" s="1046"/>
      <c r="X30" s="1067"/>
      <c r="Y30" s="224"/>
      <c r="Z30" s="223">
        <f t="shared" si="5"/>
        <v>0</v>
      </c>
      <c r="AA30" s="1075"/>
      <c r="AB30" s="1049"/>
      <c r="AC30" s="1045"/>
      <c r="AD30" s="1050"/>
      <c r="AE30" s="1047"/>
      <c r="AF30" s="1050"/>
      <c r="AG30" s="1047"/>
      <c r="AH30" s="1050"/>
      <c r="AI30" s="1047"/>
      <c r="AJ30" s="1050"/>
      <c r="AK30" s="1047"/>
      <c r="AL30" s="1051"/>
      <c r="AM30" s="1047"/>
      <c r="AN30" s="1051"/>
      <c r="AO30" s="1047"/>
      <c r="AP30" s="1051"/>
      <c r="AQ30" s="1047"/>
      <c r="AR30" s="1051"/>
    </row>
    <row r="31" spans="1:44" ht="13.5" thickBot="1" x14ac:dyDescent="0.25">
      <c r="A31" s="214">
        <v>6230009</v>
      </c>
      <c r="B31" s="1043" t="s">
        <v>136</v>
      </c>
      <c r="C31" s="200">
        <f t="shared" si="1"/>
        <v>0</v>
      </c>
      <c r="D31" s="1033">
        <f>'Budget CR'!C35</f>
        <v>0</v>
      </c>
      <c r="E31" s="1044"/>
      <c r="F31" s="1045"/>
      <c r="G31" s="1046"/>
      <c r="H31" s="1047"/>
      <c r="I31" s="1046"/>
      <c r="J31" s="1047"/>
      <c r="K31" s="1046"/>
      <c r="L31" s="1047"/>
      <c r="M31" s="1046"/>
      <c r="N31" s="1047"/>
      <c r="O31" s="1046"/>
      <c r="P31" s="1047"/>
      <c r="Q31" s="1046"/>
      <c r="R31" s="1047"/>
      <c r="S31" s="1046"/>
      <c r="T31" s="1047"/>
      <c r="U31" s="1046"/>
      <c r="V31" s="1047"/>
      <c r="W31" s="1046"/>
      <c r="X31" s="1067"/>
      <c r="Y31" s="224"/>
      <c r="Z31" s="223">
        <f t="shared" si="5"/>
        <v>0</v>
      </c>
      <c r="AA31" s="1075"/>
      <c r="AB31" s="1049"/>
      <c r="AC31" s="1045"/>
      <c r="AD31" s="1050"/>
      <c r="AE31" s="1047"/>
      <c r="AF31" s="1050"/>
      <c r="AG31" s="1047"/>
      <c r="AH31" s="1050"/>
      <c r="AI31" s="1047"/>
      <c r="AJ31" s="1050"/>
      <c r="AK31" s="1047"/>
      <c r="AL31" s="1051"/>
      <c r="AM31" s="1047"/>
      <c r="AN31" s="1051"/>
      <c r="AO31" s="1047"/>
      <c r="AP31" s="1051"/>
      <c r="AQ31" s="1047"/>
      <c r="AR31" s="1051"/>
    </row>
    <row r="32" spans="1:44" ht="12.75" thickBot="1" x14ac:dyDescent="0.25">
      <c r="A32" s="214">
        <v>6240000</v>
      </c>
      <c r="B32" s="1043" t="s">
        <v>137</v>
      </c>
      <c r="C32" s="200">
        <f t="shared" si="1"/>
        <v>8700</v>
      </c>
      <c r="D32" s="1033">
        <f>'Budget CR'!C36</f>
        <v>8700</v>
      </c>
      <c r="E32" s="1044"/>
      <c r="F32" s="1045"/>
      <c r="G32" s="1046"/>
      <c r="H32" s="1047"/>
      <c r="I32" s="1046"/>
      <c r="J32" s="1047"/>
      <c r="K32" s="1046"/>
      <c r="L32" s="1047"/>
      <c r="M32" s="1046"/>
      <c r="N32" s="1047"/>
      <c r="O32" s="1046"/>
      <c r="P32" s="1047"/>
      <c r="Q32" s="1046"/>
      <c r="R32" s="1047"/>
      <c r="S32" s="1046"/>
      <c r="T32" s="1047"/>
      <c r="U32" s="1046"/>
      <c r="V32" s="1047"/>
      <c r="W32" s="1046"/>
      <c r="X32" s="1067"/>
      <c r="Y32" s="1048"/>
      <c r="Z32" s="223">
        <f t="shared" si="5"/>
        <v>0</v>
      </c>
      <c r="AA32" s="1075"/>
      <c r="AB32" s="1049"/>
      <c r="AC32" s="1045"/>
      <c r="AD32" s="1050"/>
      <c r="AE32" s="1047"/>
      <c r="AF32" s="1050"/>
      <c r="AG32" s="1047"/>
      <c r="AH32" s="1050"/>
      <c r="AI32" s="1047"/>
      <c r="AJ32" s="1050"/>
      <c r="AK32" s="1047"/>
      <c r="AL32" s="1051"/>
      <c r="AM32" s="1047"/>
      <c r="AN32" s="1051"/>
      <c r="AO32" s="1047"/>
      <c r="AP32" s="1051"/>
      <c r="AQ32" s="1047"/>
      <c r="AR32" s="1051"/>
    </row>
    <row r="33" spans="1:44" ht="15.75" customHeight="1" thickBot="1" x14ac:dyDescent="0.25">
      <c r="A33" s="214">
        <v>6250000</v>
      </c>
      <c r="B33" s="1043" t="s">
        <v>138</v>
      </c>
      <c r="C33" s="200">
        <f t="shared" si="1"/>
        <v>2831.7</v>
      </c>
      <c r="D33" s="1033">
        <f>'Budget CR'!C37</f>
        <v>2831.7</v>
      </c>
      <c r="E33" s="1044"/>
      <c r="F33" s="1045"/>
      <c r="G33" s="1046"/>
      <c r="H33" s="1047"/>
      <c r="I33" s="1046"/>
      <c r="J33" s="1047"/>
      <c r="K33" s="1046"/>
      <c r="L33" s="1047"/>
      <c r="M33" s="1046"/>
      <c r="N33" s="1047"/>
      <c r="O33" s="1046"/>
      <c r="P33" s="1047"/>
      <c r="Q33" s="1046"/>
      <c r="R33" s="1047"/>
      <c r="S33" s="1046"/>
      <c r="T33" s="1047"/>
      <c r="U33" s="1046"/>
      <c r="V33" s="1047"/>
      <c r="W33" s="1046"/>
      <c r="X33" s="1067"/>
      <c r="Y33" s="224"/>
      <c r="Z33" s="223">
        <f t="shared" si="5"/>
        <v>0</v>
      </c>
      <c r="AA33" s="1075"/>
      <c r="AB33" s="1049"/>
      <c r="AC33" s="1045"/>
      <c r="AD33" s="1050"/>
      <c r="AE33" s="1047"/>
      <c r="AF33" s="1050"/>
      <c r="AG33" s="1047"/>
      <c r="AH33" s="1050"/>
      <c r="AI33" s="1047"/>
      <c r="AJ33" s="1050"/>
      <c r="AK33" s="1047"/>
      <c r="AL33" s="1051"/>
      <c r="AM33" s="1047"/>
      <c r="AN33" s="1051"/>
      <c r="AO33" s="1047"/>
      <c r="AP33" s="1051"/>
      <c r="AQ33" s="1047"/>
      <c r="AR33" s="1051"/>
    </row>
    <row r="34" spans="1:44" ht="15.75" customHeight="1" thickBot="1" x14ac:dyDescent="0.25">
      <c r="A34" s="214">
        <v>6260000</v>
      </c>
      <c r="B34" s="1043" t="s">
        <v>139</v>
      </c>
      <c r="C34" s="200">
        <f t="shared" si="1"/>
        <v>120</v>
      </c>
      <c r="D34" s="1033">
        <f>'Budget CR'!C38</f>
        <v>120</v>
      </c>
      <c r="E34" s="1068"/>
      <c r="F34" s="1069"/>
      <c r="G34" s="1070"/>
      <c r="H34" s="1071"/>
      <c r="I34" s="1070"/>
      <c r="J34" s="1071"/>
      <c r="K34" s="1070"/>
      <c r="L34" s="1071"/>
      <c r="M34" s="1070"/>
      <c r="N34" s="1071"/>
      <c r="O34" s="1070"/>
      <c r="P34" s="1071"/>
      <c r="Q34" s="1070"/>
      <c r="R34" s="1071"/>
      <c r="S34" s="1070"/>
      <c r="T34" s="1071"/>
      <c r="U34" s="1070"/>
      <c r="V34" s="1071"/>
      <c r="W34" s="1070"/>
      <c r="X34" s="1067"/>
      <c r="Y34" s="1048"/>
      <c r="Z34" s="223">
        <f t="shared" si="5"/>
        <v>0</v>
      </c>
      <c r="AA34" s="1078"/>
      <c r="AB34" s="1072"/>
      <c r="AC34" s="1069"/>
      <c r="AD34" s="1073"/>
      <c r="AE34" s="1071"/>
      <c r="AF34" s="1073"/>
      <c r="AG34" s="1071"/>
      <c r="AH34" s="1073"/>
      <c r="AI34" s="1071"/>
      <c r="AJ34" s="1073"/>
      <c r="AK34" s="1071"/>
      <c r="AL34" s="1074"/>
      <c r="AM34" s="1071"/>
      <c r="AN34" s="1074"/>
      <c r="AO34" s="1071"/>
      <c r="AP34" s="1074"/>
      <c r="AQ34" s="1071"/>
      <c r="AR34" s="1074"/>
    </row>
    <row r="35" spans="1:44" ht="15.75" customHeight="1" thickBot="1" x14ac:dyDescent="0.25">
      <c r="A35" s="214">
        <v>6270000</v>
      </c>
      <c r="B35" s="1043" t="s">
        <v>140</v>
      </c>
      <c r="C35" s="200">
        <f t="shared" si="1"/>
        <v>55</v>
      </c>
      <c r="D35" s="1033">
        <f>'Budget CR'!C39</f>
        <v>55</v>
      </c>
      <c r="E35" s="1044"/>
      <c r="F35" s="1045"/>
      <c r="G35" s="1046"/>
      <c r="H35" s="1047"/>
      <c r="I35" s="1046"/>
      <c r="J35" s="1047"/>
      <c r="K35" s="1046"/>
      <c r="L35" s="1047"/>
      <c r="M35" s="1046"/>
      <c r="N35" s="1047"/>
      <c r="O35" s="1046"/>
      <c r="P35" s="1047"/>
      <c r="Q35" s="1046"/>
      <c r="R35" s="1047"/>
      <c r="S35" s="1046"/>
      <c r="T35" s="1047"/>
      <c r="U35" s="1046"/>
      <c r="V35" s="1047"/>
      <c r="W35" s="1046"/>
      <c r="X35" s="1067"/>
      <c r="Y35" s="1048"/>
      <c r="Z35" s="223">
        <f t="shared" si="5"/>
        <v>0</v>
      </c>
      <c r="AA35" s="1075"/>
      <c r="AB35" s="1049"/>
      <c r="AC35" s="1045"/>
      <c r="AD35" s="1050"/>
      <c r="AE35" s="1047"/>
      <c r="AF35" s="1050"/>
      <c r="AG35" s="1047"/>
      <c r="AH35" s="1050"/>
      <c r="AI35" s="1047"/>
      <c r="AJ35" s="1050"/>
      <c r="AK35" s="1047"/>
      <c r="AL35" s="1051"/>
      <c r="AM35" s="1047"/>
      <c r="AN35" s="1051"/>
      <c r="AO35" s="1047"/>
      <c r="AP35" s="1051"/>
      <c r="AQ35" s="1047"/>
      <c r="AR35" s="1051"/>
    </row>
    <row r="36" spans="1:44" ht="15.75" customHeight="1" thickBot="1" x14ac:dyDescent="0.25">
      <c r="A36" s="1054">
        <v>6280000</v>
      </c>
      <c r="B36" s="1055" t="s">
        <v>141</v>
      </c>
      <c r="C36" s="200">
        <f t="shared" si="1"/>
        <v>0</v>
      </c>
      <c r="D36" s="1033">
        <f>'Budget CR'!C40</f>
        <v>0</v>
      </c>
      <c r="E36" s="1079"/>
      <c r="F36" s="1080"/>
      <c r="G36" s="1081"/>
      <c r="H36" s="1082"/>
      <c r="I36" s="1081"/>
      <c r="J36" s="1082"/>
      <c r="K36" s="1081"/>
      <c r="L36" s="1082"/>
      <c r="M36" s="1081"/>
      <c r="N36" s="1082"/>
      <c r="O36" s="1081"/>
      <c r="P36" s="1082"/>
      <c r="Q36" s="1081"/>
      <c r="R36" s="1082"/>
      <c r="S36" s="1081"/>
      <c r="T36" s="1082"/>
      <c r="U36" s="1081"/>
      <c r="V36" s="1082"/>
      <c r="W36" s="1081"/>
      <c r="X36" s="1067"/>
      <c r="Y36" s="1048"/>
      <c r="Z36" s="223">
        <f t="shared" si="5"/>
        <v>0</v>
      </c>
      <c r="AA36" s="1078"/>
      <c r="AB36" s="1072"/>
      <c r="AC36" s="1069"/>
      <c r="AD36" s="1073"/>
      <c r="AE36" s="1071"/>
      <c r="AF36" s="1073"/>
      <c r="AG36" s="1071"/>
      <c r="AH36" s="1073"/>
      <c r="AI36" s="1071"/>
      <c r="AJ36" s="1073"/>
      <c r="AK36" s="1071"/>
      <c r="AL36" s="1074"/>
      <c r="AM36" s="1071"/>
      <c r="AN36" s="1074"/>
      <c r="AO36" s="1071"/>
      <c r="AP36" s="1074"/>
      <c r="AQ36" s="1071"/>
      <c r="AR36" s="1074"/>
    </row>
    <row r="37" spans="1:44" ht="12.75" thickBot="1" x14ac:dyDescent="0.25">
      <c r="A37" s="198">
        <v>63</v>
      </c>
      <c r="B37" s="199" t="s">
        <v>142</v>
      </c>
      <c r="C37" s="200">
        <f t="shared" ref="C37:C61" si="18">SUM(D37:W37)</f>
        <v>0</v>
      </c>
      <c r="D37" s="225">
        <f t="shared" ref="D37:W37" si="19">D38</f>
        <v>0</v>
      </c>
      <c r="E37" s="1076">
        <f t="shared" si="19"/>
        <v>0</v>
      </c>
      <c r="F37" s="1077">
        <f t="shared" si="19"/>
        <v>0</v>
      </c>
      <c r="G37" s="226">
        <f t="shared" si="19"/>
        <v>0</v>
      </c>
      <c r="H37" s="225">
        <f t="shared" si="19"/>
        <v>0</v>
      </c>
      <c r="I37" s="226">
        <f t="shared" si="19"/>
        <v>0</v>
      </c>
      <c r="J37" s="225">
        <f t="shared" si="19"/>
        <v>0</v>
      </c>
      <c r="K37" s="226">
        <f t="shared" si="19"/>
        <v>0</v>
      </c>
      <c r="L37" s="225">
        <f t="shared" si="19"/>
        <v>0</v>
      </c>
      <c r="M37" s="226">
        <f t="shared" si="19"/>
        <v>0</v>
      </c>
      <c r="N37" s="225">
        <f t="shared" si="19"/>
        <v>0</v>
      </c>
      <c r="O37" s="226">
        <f t="shared" si="19"/>
        <v>0</v>
      </c>
      <c r="P37" s="225">
        <f t="shared" si="19"/>
        <v>0</v>
      </c>
      <c r="Q37" s="226">
        <f t="shared" si="19"/>
        <v>0</v>
      </c>
      <c r="R37" s="225">
        <f t="shared" si="19"/>
        <v>0</v>
      </c>
      <c r="S37" s="226">
        <f t="shared" si="19"/>
        <v>0</v>
      </c>
      <c r="T37" s="225">
        <f t="shared" si="19"/>
        <v>0</v>
      </c>
      <c r="U37" s="226">
        <f t="shared" si="19"/>
        <v>0</v>
      </c>
      <c r="V37" s="225">
        <f t="shared" si="19"/>
        <v>0</v>
      </c>
      <c r="W37" s="226">
        <f t="shared" si="19"/>
        <v>0</v>
      </c>
      <c r="X37" s="1067"/>
      <c r="Y37" s="1048"/>
      <c r="Z37" s="223">
        <f t="shared" ref="Z37:Z61" si="20">SUM(AA37:AR37)</f>
        <v>0</v>
      </c>
      <c r="AA37" s="1075"/>
      <c r="AB37" s="1049"/>
      <c r="AC37" s="1045"/>
      <c r="AD37" s="1050"/>
      <c r="AE37" s="1047"/>
      <c r="AF37" s="1050"/>
      <c r="AG37" s="1047"/>
      <c r="AH37" s="1050"/>
      <c r="AI37" s="1047"/>
      <c r="AJ37" s="1050"/>
      <c r="AK37" s="1047"/>
      <c r="AL37" s="1051"/>
      <c r="AM37" s="1047"/>
      <c r="AN37" s="1051"/>
      <c r="AO37" s="1047"/>
      <c r="AP37" s="1051"/>
      <c r="AQ37" s="1047"/>
      <c r="AR37" s="1051"/>
    </row>
    <row r="38" spans="1:44" ht="15.75" customHeight="1" thickBot="1" x14ac:dyDescent="0.25">
      <c r="A38" s="227">
        <v>6370000</v>
      </c>
      <c r="B38" s="1083" t="s">
        <v>143</v>
      </c>
      <c r="C38" s="200">
        <f t="shared" si="18"/>
        <v>0</v>
      </c>
      <c r="D38" s="1084">
        <f>'Budget CR'!C42</f>
        <v>0</v>
      </c>
      <c r="E38" s="1085"/>
      <c r="F38" s="1086"/>
      <c r="G38" s="1087"/>
      <c r="H38" s="1088"/>
      <c r="I38" s="1087"/>
      <c r="J38" s="1088"/>
      <c r="K38" s="1087"/>
      <c r="L38" s="1088"/>
      <c r="M38" s="1087"/>
      <c r="N38" s="1088"/>
      <c r="O38" s="1087"/>
      <c r="P38" s="1088"/>
      <c r="Q38" s="1087"/>
      <c r="R38" s="1088"/>
      <c r="S38" s="1087"/>
      <c r="T38" s="1088"/>
      <c r="U38" s="1087"/>
      <c r="V38" s="1088"/>
      <c r="W38" s="1087"/>
      <c r="X38" s="1067"/>
      <c r="Y38" s="1048"/>
      <c r="Z38" s="223">
        <f t="shared" si="20"/>
        <v>0</v>
      </c>
      <c r="AA38" s="1075"/>
      <c r="AB38" s="1049"/>
      <c r="AC38" s="1045"/>
      <c r="AD38" s="1050"/>
      <c r="AE38" s="1047"/>
      <c r="AF38" s="1050"/>
      <c r="AG38" s="1047"/>
      <c r="AH38" s="1050"/>
      <c r="AI38" s="1047"/>
      <c r="AJ38" s="1050"/>
      <c r="AK38" s="1047"/>
      <c r="AL38" s="1051"/>
      <c r="AM38" s="1047"/>
      <c r="AN38" s="1051"/>
      <c r="AO38" s="1047"/>
      <c r="AP38" s="1051"/>
      <c r="AQ38" s="1047"/>
      <c r="AR38" s="1051"/>
    </row>
    <row r="39" spans="1:44" ht="15.75" customHeight="1" thickBot="1" x14ac:dyDescent="0.25">
      <c r="A39" s="198">
        <v>64</v>
      </c>
      <c r="B39" s="199" t="s">
        <v>144</v>
      </c>
      <c r="C39" s="200">
        <f t="shared" si="18"/>
        <v>9400</v>
      </c>
      <c r="D39" s="225">
        <f t="shared" ref="D39:W39" si="21">D40+D41+D42</f>
        <v>9400</v>
      </c>
      <c r="E39" s="1076">
        <f t="shared" si="21"/>
        <v>0</v>
      </c>
      <c r="F39" s="1077">
        <f t="shared" si="21"/>
        <v>0</v>
      </c>
      <c r="G39" s="226">
        <f t="shared" si="21"/>
        <v>0</v>
      </c>
      <c r="H39" s="225">
        <f t="shared" si="21"/>
        <v>0</v>
      </c>
      <c r="I39" s="226">
        <f t="shared" si="21"/>
        <v>0</v>
      </c>
      <c r="J39" s="225">
        <f t="shared" si="21"/>
        <v>0</v>
      </c>
      <c r="K39" s="226">
        <f t="shared" si="21"/>
        <v>0</v>
      </c>
      <c r="L39" s="225">
        <f t="shared" si="21"/>
        <v>0</v>
      </c>
      <c r="M39" s="226">
        <f t="shared" si="21"/>
        <v>0</v>
      </c>
      <c r="N39" s="225">
        <f t="shared" ref="N39:U39" si="22">N40+N41+N42</f>
        <v>0</v>
      </c>
      <c r="O39" s="226">
        <f t="shared" si="22"/>
        <v>0</v>
      </c>
      <c r="P39" s="225">
        <f t="shared" si="22"/>
        <v>0</v>
      </c>
      <c r="Q39" s="226">
        <f t="shared" si="22"/>
        <v>0</v>
      </c>
      <c r="R39" s="225">
        <f t="shared" si="22"/>
        <v>0</v>
      </c>
      <c r="S39" s="226">
        <f t="shared" si="22"/>
        <v>0</v>
      </c>
      <c r="T39" s="225">
        <f t="shared" si="22"/>
        <v>0</v>
      </c>
      <c r="U39" s="226">
        <f t="shared" si="22"/>
        <v>0</v>
      </c>
      <c r="V39" s="225">
        <f t="shared" si="21"/>
        <v>0</v>
      </c>
      <c r="W39" s="226">
        <f t="shared" si="21"/>
        <v>0</v>
      </c>
      <c r="X39" s="1067"/>
      <c r="Y39" s="1048"/>
      <c r="Z39" s="223">
        <f t="shared" si="20"/>
        <v>0</v>
      </c>
      <c r="AA39" s="1075"/>
      <c r="AB39" s="1049"/>
      <c r="AC39" s="1045"/>
      <c r="AD39" s="1050"/>
      <c r="AE39" s="1047"/>
      <c r="AF39" s="1050"/>
      <c r="AG39" s="1047"/>
      <c r="AH39" s="1050"/>
      <c r="AI39" s="1047"/>
      <c r="AJ39" s="1050"/>
      <c r="AK39" s="1047"/>
      <c r="AL39" s="1051"/>
      <c r="AM39" s="1047"/>
      <c r="AN39" s="1051"/>
      <c r="AO39" s="1047"/>
      <c r="AP39" s="1051"/>
      <c r="AQ39" s="1047"/>
      <c r="AR39" s="1051"/>
    </row>
    <row r="40" spans="1:44" ht="15.75" customHeight="1" thickBot="1" x14ac:dyDescent="0.25">
      <c r="A40" s="211">
        <v>6410009</v>
      </c>
      <c r="B40" s="1032" t="s">
        <v>112</v>
      </c>
      <c r="C40" s="200">
        <f t="shared" si="18"/>
        <v>9400</v>
      </c>
      <c r="D40" s="1089">
        <f>'Budget CR'!C44</f>
        <v>9400</v>
      </c>
      <c r="E40" s="1090"/>
      <c r="F40" s="1091"/>
      <c r="G40" s="1092"/>
      <c r="H40" s="1093"/>
      <c r="I40" s="1092"/>
      <c r="J40" s="1093"/>
      <c r="K40" s="1092"/>
      <c r="L40" s="1093"/>
      <c r="M40" s="1092"/>
      <c r="N40" s="1093"/>
      <c r="O40" s="1092"/>
      <c r="P40" s="1093"/>
      <c r="Q40" s="1092"/>
      <c r="R40" s="1093"/>
      <c r="S40" s="1092"/>
      <c r="T40" s="1093"/>
      <c r="U40" s="1092"/>
      <c r="V40" s="1093"/>
      <c r="W40" s="1092"/>
      <c r="X40" s="1067"/>
      <c r="Y40" s="1048"/>
      <c r="Z40" s="223">
        <f t="shared" si="20"/>
        <v>0</v>
      </c>
      <c r="AA40" s="1078"/>
      <c r="AB40" s="1072"/>
      <c r="AC40" s="1069"/>
      <c r="AD40" s="1073"/>
      <c r="AE40" s="1071"/>
      <c r="AF40" s="1073"/>
      <c r="AG40" s="1071"/>
      <c r="AH40" s="1073"/>
      <c r="AI40" s="1071"/>
      <c r="AJ40" s="1073"/>
      <c r="AK40" s="1071"/>
      <c r="AL40" s="1074"/>
      <c r="AM40" s="1071"/>
      <c r="AN40" s="1074"/>
      <c r="AO40" s="1071"/>
      <c r="AP40" s="1074"/>
      <c r="AQ40" s="1071"/>
      <c r="AR40" s="1074"/>
    </row>
    <row r="41" spans="1:44" ht="12.75" thickBot="1" x14ac:dyDescent="0.25">
      <c r="A41" s="215">
        <v>6450009</v>
      </c>
      <c r="B41" s="1094" t="s">
        <v>145</v>
      </c>
      <c r="C41" s="200">
        <f t="shared" si="18"/>
        <v>0</v>
      </c>
      <c r="D41" s="1089">
        <f>'Budget CR'!C45</f>
        <v>0</v>
      </c>
      <c r="E41" s="1044"/>
      <c r="F41" s="1045"/>
      <c r="G41" s="1046"/>
      <c r="H41" s="1047"/>
      <c r="I41" s="1046"/>
      <c r="J41" s="1047"/>
      <c r="K41" s="1046"/>
      <c r="L41" s="1047"/>
      <c r="M41" s="1046"/>
      <c r="N41" s="1047"/>
      <c r="O41" s="1046"/>
      <c r="P41" s="1047"/>
      <c r="Q41" s="1046"/>
      <c r="R41" s="1047"/>
      <c r="S41" s="1046"/>
      <c r="T41" s="1047"/>
      <c r="U41" s="1046"/>
      <c r="V41" s="1047"/>
      <c r="W41" s="1046"/>
      <c r="X41" s="1095"/>
      <c r="Y41" s="1060"/>
      <c r="Z41" s="223">
        <f t="shared" si="20"/>
        <v>0</v>
      </c>
      <c r="AA41" s="1075"/>
      <c r="AB41" s="1049"/>
      <c r="AC41" s="1045"/>
      <c r="AD41" s="1050"/>
      <c r="AE41" s="1047"/>
      <c r="AF41" s="1050"/>
      <c r="AG41" s="1047"/>
      <c r="AH41" s="1050"/>
      <c r="AI41" s="1047"/>
      <c r="AJ41" s="1050"/>
      <c r="AK41" s="1047"/>
      <c r="AL41" s="1051"/>
      <c r="AM41" s="1047"/>
      <c r="AN41" s="1051"/>
      <c r="AO41" s="1047"/>
      <c r="AP41" s="1051"/>
      <c r="AQ41" s="1047"/>
      <c r="AR41" s="1051"/>
    </row>
    <row r="42" spans="1:44" ht="12.75" thickBot="1" x14ac:dyDescent="0.25">
      <c r="A42" s="1095">
        <v>6480000</v>
      </c>
      <c r="B42" s="1094" t="s">
        <v>146</v>
      </c>
      <c r="C42" s="200">
        <f t="shared" si="18"/>
        <v>0</v>
      </c>
      <c r="D42" s="1089">
        <f>'Budget CR'!C46</f>
        <v>0</v>
      </c>
      <c r="E42" s="1056"/>
      <c r="F42" s="1057"/>
      <c r="G42" s="1058"/>
      <c r="H42" s="1059"/>
      <c r="I42" s="1058"/>
      <c r="J42" s="1059"/>
      <c r="K42" s="1058"/>
      <c r="L42" s="1059"/>
      <c r="M42" s="1058"/>
      <c r="N42" s="1059"/>
      <c r="O42" s="1058"/>
      <c r="P42" s="1059"/>
      <c r="Q42" s="1058"/>
      <c r="R42" s="1059"/>
      <c r="S42" s="1058"/>
      <c r="T42" s="1059"/>
      <c r="U42" s="1058"/>
      <c r="V42" s="1059"/>
      <c r="W42" s="1058"/>
      <c r="X42" s="228"/>
      <c r="Y42" s="229"/>
      <c r="Z42" s="223">
        <f t="shared" si="20"/>
        <v>0</v>
      </c>
      <c r="AA42" s="1096"/>
      <c r="AB42" s="1062"/>
      <c r="AC42" s="1057"/>
      <c r="AD42" s="1063"/>
      <c r="AE42" s="1059"/>
      <c r="AF42" s="1063"/>
      <c r="AG42" s="1059"/>
      <c r="AH42" s="1063"/>
      <c r="AI42" s="1059"/>
      <c r="AJ42" s="1063"/>
      <c r="AK42" s="1059"/>
      <c r="AL42" s="1064"/>
      <c r="AM42" s="1059"/>
      <c r="AN42" s="1064"/>
      <c r="AO42" s="1059"/>
      <c r="AP42" s="1064"/>
      <c r="AQ42" s="1059"/>
      <c r="AR42" s="1064"/>
    </row>
    <row r="43" spans="1:44" ht="12.75" thickBot="1" x14ac:dyDescent="0.25">
      <c r="A43" s="198">
        <v>65</v>
      </c>
      <c r="B43" s="199" t="s">
        <v>147</v>
      </c>
      <c r="C43" s="200">
        <f t="shared" si="18"/>
        <v>200</v>
      </c>
      <c r="D43" s="225">
        <f t="shared" ref="D43:W43" si="23">SUM(D44:D51)</f>
        <v>200</v>
      </c>
      <c r="E43" s="1076">
        <f t="shared" ref="E43:F43" si="24">SUM(E44:E51)</f>
        <v>0</v>
      </c>
      <c r="F43" s="1077">
        <f t="shared" si="24"/>
        <v>0</v>
      </c>
      <c r="G43" s="226">
        <f t="shared" si="23"/>
        <v>0</v>
      </c>
      <c r="H43" s="225">
        <f t="shared" si="23"/>
        <v>0</v>
      </c>
      <c r="I43" s="226">
        <f t="shared" si="23"/>
        <v>0</v>
      </c>
      <c r="J43" s="225">
        <f t="shared" si="23"/>
        <v>0</v>
      </c>
      <c r="K43" s="226">
        <f t="shared" si="23"/>
        <v>0</v>
      </c>
      <c r="L43" s="225">
        <f t="shared" si="23"/>
        <v>0</v>
      </c>
      <c r="M43" s="226">
        <f t="shared" si="23"/>
        <v>0</v>
      </c>
      <c r="N43" s="225">
        <f t="shared" ref="N43:U43" si="25">SUM(N44:N51)</f>
        <v>0</v>
      </c>
      <c r="O43" s="226">
        <f t="shared" si="25"/>
        <v>0</v>
      </c>
      <c r="P43" s="225">
        <f t="shared" si="25"/>
        <v>0</v>
      </c>
      <c r="Q43" s="226">
        <f t="shared" si="25"/>
        <v>0</v>
      </c>
      <c r="R43" s="225">
        <f t="shared" si="25"/>
        <v>0</v>
      </c>
      <c r="S43" s="226">
        <f t="shared" si="25"/>
        <v>0</v>
      </c>
      <c r="T43" s="225">
        <f t="shared" si="25"/>
        <v>0</v>
      </c>
      <c r="U43" s="226">
        <f t="shared" si="25"/>
        <v>0</v>
      </c>
      <c r="V43" s="225">
        <f t="shared" si="23"/>
        <v>0</v>
      </c>
      <c r="W43" s="226">
        <f t="shared" si="23"/>
        <v>0</v>
      </c>
      <c r="X43" s="205">
        <v>75</v>
      </c>
      <c r="Y43" s="206" t="s">
        <v>71</v>
      </c>
      <c r="Z43" s="230">
        <f t="shared" si="20"/>
        <v>200</v>
      </c>
      <c r="AA43" s="225">
        <f t="shared" ref="AA43:AR43" si="26">SUM(AA44:AA51)</f>
        <v>200</v>
      </c>
      <c r="AB43" s="1097">
        <f t="shared" si="26"/>
        <v>0</v>
      </c>
      <c r="AC43" s="1077">
        <f t="shared" si="26"/>
        <v>0</v>
      </c>
      <c r="AD43" s="231">
        <f t="shared" si="26"/>
        <v>0</v>
      </c>
      <c r="AE43" s="225">
        <f t="shared" si="26"/>
        <v>0</v>
      </c>
      <c r="AF43" s="231">
        <f t="shared" si="26"/>
        <v>0</v>
      </c>
      <c r="AG43" s="225">
        <f t="shared" si="26"/>
        <v>0</v>
      </c>
      <c r="AH43" s="231">
        <f t="shared" si="26"/>
        <v>0</v>
      </c>
      <c r="AI43" s="225">
        <f t="shared" si="26"/>
        <v>0</v>
      </c>
      <c r="AJ43" s="231">
        <f t="shared" si="26"/>
        <v>0</v>
      </c>
      <c r="AK43" s="225">
        <f t="shared" ref="AK43:AP43" si="27">SUM(AK44:AK51)</f>
        <v>0</v>
      </c>
      <c r="AL43" s="232">
        <f t="shared" si="27"/>
        <v>0</v>
      </c>
      <c r="AM43" s="225">
        <f t="shared" si="27"/>
        <v>0</v>
      </c>
      <c r="AN43" s="232">
        <f t="shared" si="27"/>
        <v>0</v>
      </c>
      <c r="AO43" s="225">
        <f t="shared" si="27"/>
        <v>0</v>
      </c>
      <c r="AP43" s="232">
        <f t="shared" si="27"/>
        <v>0</v>
      </c>
      <c r="AQ43" s="225">
        <f t="shared" si="26"/>
        <v>0</v>
      </c>
      <c r="AR43" s="232">
        <f t="shared" si="26"/>
        <v>0</v>
      </c>
    </row>
    <row r="44" spans="1:44" ht="15.75" customHeight="1" thickBot="1" x14ac:dyDescent="0.25">
      <c r="A44" s="211">
        <v>6561009</v>
      </c>
      <c r="B44" s="1032" t="s">
        <v>148</v>
      </c>
      <c r="C44" s="200">
        <f t="shared" si="18"/>
        <v>200</v>
      </c>
      <c r="D44" s="1033">
        <f>'Budget CR'!C48</f>
        <v>200</v>
      </c>
      <c r="E44" s="1034"/>
      <c r="F44" s="1035"/>
      <c r="G44" s="1036"/>
      <c r="H44" s="1037"/>
      <c r="I44" s="1036"/>
      <c r="J44" s="1037"/>
      <c r="K44" s="1036"/>
      <c r="L44" s="1037"/>
      <c r="M44" s="1036"/>
      <c r="N44" s="1037"/>
      <c r="O44" s="1036"/>
      <c r="P44" s="1037"/>
      <c r="Q44" s="1036"/>
      <c r="R44" s="1037"/>
      <c r="S44" s="1036"/>
      <c r="T44" s="1037"/>
      <c r="U44" s="1036"/>
      <c r="V44" s="1037"/>
      <c r="W44" s="1036"/>
      <c r="X44" s="1065">
        <v>7540000</v>
      </c>
      <c r="Y44" s="1038" t="s">
        <v>72</v>
      </c>
      <c r="Z44" s="233">
        <f t="shared" si="20"/>
        <v>0</v>
      </c>
      <c r="AA44" s="1033">
        <f>'Budget CR'!H48</f>
        <v>0</v>
      </c>
      <c r="AB44" s="1040"/>
      <c r="AC44" s="1035"/>
      <c r="AD44" s="1041"/>
      <c r="AE44" s="1037"/>
      <c r="AF44" s="1041"/>
      <c r="AG44" s="1037"/>
      <c r="AH44" s="1041"/>
      <c r="AI44" s="1037"/>
      <c r="AJ44" s="1041"/>
      <c r="AK44" s="1037"/>
      <c r="AL44" s="1042"/>
      <c r="AM44" s="1037"/>
      <c r="AN44" s="1042"/>
      <c r="AO44" s="1037"/>
      <c r="AP44" s="1042"/>
      <c r="AQ44" s="1037"/>
      <c r="AR44" s="1042"/>
    </row>
    <row r="45" spans="1:44" ht="15.75" customHeight="1" thickBot="1" x14ac:dyDescent="0.25">
      <c r="A45" s="214">
        <v>6566009</v>
      </c>
      <c r="B45" s="1043" t="s">
        <v>149</v>
      </c>
      <c r="C45" s="200">
        <f t="shared" si="18"/>
        <v>0</v>
      </c>
      <c r="D45" s="1033">
        <f>'Budget CR'!C49</f>
        <v>0</v>
      </c>
      <c r="E45" s="1068"/>
      <c r="F45" s="1069"/>
      <c r="G45" s="1070"/>
      <c r="H45" s="1071"/>
      <c r="I45" s="1070"/>
      <c r="J45" s="1071"/>
      <c r="K45" s="1070"/>
      <c r="L45" s="1071"/>
      <c r="M45" s="1070"/>
      <c r="N45" s="1071"/>
      <c r="O45" s="1070"/>
      <c r="P45" s="1071"/>
      <c r="Q45" s="1070"/>
      <c r="R45" s="1071"/>
      <c r="S45" s="1070"/>
      <c r="T45" s="1071"/>
      <c r="U45" s="1070"/>
      <c r="V45" s="1071"/>
      <c r="W45" s="1070"/>
      <c r="X45" s="1065">
        <v>7540009</v>
      </c>
      <c r="Y45" s="1038" t="s">
        <v>73</v>
      </c>
      <c r="Z45" s="233">
        <f t="shared" si="20"/>
        <v>0</v>
      </c>
      <c r="AA45" s="1033">
        <f>'Budget CR'!H49</f>
        <v>0</v>
      </c>
      <c r="AB45" s="1072"/>
      <c r="AC45" s="1069"/>
      <c r="AD45" s="1073"/>
      <c r="AE45" s="1071"/>
      <c r="AF45" s="1073"/>
      <c r="AG45" s="1071"/>
      <c r="AH45" s="1073"/>
      <c r="AI45" s="1071"/>
      <c r="AJ45" s="1073"/>
      <c r="AK45" s="1071"/>
      <c r="AL45" s="1074"/>
      <c r="AM45" s="1071"/>
      <c r="AN45" s="1074"/>
      <c r="AO45" s="1071"/>
      <c r="AP45" s="1074"/>
      <c r="AQ45" s="1071"/>
      <c r="AR45" s="1074"/>
    </row>
    <row r="46" spans="1:44" ht="15.75" customHeight="1" thickBot="1" x14ac:dyDescent="0.25">
      <c r="A46" s="214">
        <v>6570009</v>
      </c>
      <c r="B46" s="1043" t="s">
        <v>150</v>
      </c>
      <c r="C46" s="200">
        <f t="shared" si="18"/>
        <v>0</v>
      </c>
      <c r="D46" s="1033">
        <f>'Budget CR'!C50</f>
        <v>0</v>
      </c>
      <c r="E46" s="1044"/>
      <c r="F46" s="1045"/>
      <c r="G46" s="1046"/>
      <c r="H46" s="1047"/>
      <c r="I46" s="1046"/>
      <c r="J46" s="1047"/>
      <c r="K46" s="1046"/>
      <c r="L46" s="1047"/>
      <c r="M46" s="1046"/>
      <c r="N46" s="1047"/>
      <c r="O46" s="1046"/>
      <c r="P46" s="1047"/>
      <c r="Q46" s="1046"/>
      <c r="R46" s="1047"/>
      <c r="S46" s="1046"/>
      <c r="T46" s="1047"/>
      <c r="U46" s="1046"/>
      <c r="V46" s="1047"/>
      <c r="W46" s="1046"/>
      <c r="X46" s="1065">
        <v>7560000</v>
      </c>
      <c r="Y46" s="1038" t="s">
        <v>74</v>
      </c>
      <c r="Z46" s="233">
        <f t="shared" si="20"/>
        <v>200</v>
      </c>
      <c r="AA46" s="1033">
        <f>'Budget CR'!H50</f>
        <v>200</v>
      </c>
      <c r="AB46" s="1049"/>
      <c r="AC46" s="1045"/>
      <c r="AD46" s="1050"/>
      <c r="AE46" s="1047"/>
      <c r="AF46" s="1050"/>
      <c r="AG46" s="1047"/>
      <c r="AH46" s="1050"/>
      <c r="AI46" s="1047"/>
      <c r="AJ46" s="1050"/>
      <c r="AK46" s="1047"/>
      <c r="AL46" s="1051"/>
      <c r="AM46" s="1047"/>
      <c r="AN46" s="1051"/>
      <c r="AO46" s="1047"/>
      <c r="AP46" s="1051"/>
      <c r="AQ46" s="1047"/>
      <c r="AR46" s="1051"/>
    </row>
    <row r="47" spans="1:44" ht="15.75" customHeight="1" thickBot="1" x14ac:dyDescent="0.25">
      <c r="A47" s="214">
        <v>6572009</v>
      </c>
      <c r="B47" s="1043" t="s">
        <v>151</v>
      </c>
      <c r="C47" s="200">
        <f t="shared" si="18"/>
        <v>0</v>
      </c>
      <c r="D47" s="1033">
        <f>'Budget CR'!C51</f>
        <v>0</v>
      </c>
      <c r="E47" s="1068"/>
      <c r="F47" s="1069"/>
      <c r="G47" s="1070"/>
      <c r="H47" s="1071"/>
      <c r="I47" s="1070"/>
      <c r="J47" s="1071"/>
      <c r="K47" s="1070"/>
      <c r="L47" s="1071"/>
      <c r="M47" s="1070"/>
      <c r="N47" s="1071"/>
      <c r="O47" s="1070"/>
      <c r="P47" s="1071"/>
      <c r="Q47" s="1070"/>
      <c r="R47" s="1071"/>
      <c r="S47" s="1070"/>
      <c r="T47" s="1071"/>
      <c r="U47" s="1070"/>
      <c r="V47" s="1071"/>
      <c r="W47" s="1070"/>
      <c r="X47" s="1067">
        <v>7580000</v>
      </c>
      <c r="Y47" s="1048" t="s">
        <v>75</v>
      </c>
      <c r="Z47" s="233">
        <f t="shared" si="20"/>
        <v>0</v>
      </c>
      <c r="AA47" s="1033">
        <f>'Budget CR'!H51</f>
        <v>0</v>
      </c>
      <c r="AB47" s="1072"/>
      <c r="AC47" s="1069"/>
      <c r="AD47" s="1073"/>
      <c r="AE47" s="1071"/>
      <c r="AF47" s="1073"/>
      <c r="AG47" s="1071"/>
      <c r="AH47" s="1073"/>
      <c r="AI47" s="1071"/>
      <c r="AJ47" s="1073"/>
      <c r="AK47" s="1071"/>
      <c r="AL47" s="1074"/>
      <c r="AM47" s="1071"/>
      <c r="AN47" s="1074"/>
      <c r="AO47" s="1071"/>
      <c r="AP47" s="1074"/>
      <c r="AQ47" s="1071"/>
      <c r="AR47" s="1074"/>
    </row>
    <row r="48" spans="1:44" ht="12.75" thickBot="1" x14ac:dyDescent="0.25">
      <c r="A48" s="214">
        <v>6580000</v>
      </c>
      <c r="B48" s="1043" t="s">
        <v>152</v>
      </c>
      <c r="C48" s="200">
        <f t="shared" si="18"/>
        <v>0</v>
      </c>
      <c r="D48" s="1033">
        <f>'Budget CR'!C52</f>
        <v>0</v>
      </c>
      <c r="E48" s="1044"/>
      <c r="F48" s="1045"/>
      <c r="G48" s="1046"/>
      <c r="H48" s="1047"/>
      <c r="I48" s="1046"/>
      <c r="J48" s="1047"/>
      <c r="K48" s="1046"/>
      <c r="L48" s="1047"/>
      <c r="M48" s="1046"/>
      <c r="N48" s="1047"/>
      <c r="O48" s="1046"/>
      <c r="P48" s="1047"/>
      <c r="Q48" s="1046"/>
      <c r="R48" s="1047"/>
      <c r="S48" s="1046"/>
      <c r="T48" s="1047"/>
      <c r="U48" s="1046"/>
      <c r="V48" s="1047"/>
      <c r="W48" s="1046"/>
      <c r="X48" s="1067">
        <v>7580009</v>
      </c>
      <c r="Y48" s="1048" t="s">
        <v>76</v>
      </c>
      <c r="Z48" s="233">
        <f t="shared" si="20"/>
        <v>0</v>
      </c>
      <c r="AA48" s="1033">
        <f>'Budget CR'!H52</f>
        <v>0</v>
      </c>
      <c r="AB48" s="1049"/>
      <c r="AC48" s="1045"/>
      <c r="AD48" s="1050"/>
      <c r="AE48" s="1047"/>
      <c r="AF48" s="1050"/>
      <c r="AG48" s="1047"/>
      <c r="AH48" s="1050"/>
      <c r="AI48" s="1047"/>
      <c r="AJ48" s="1050"/>
      <c r="AK48" s="1047"/>
      <c r="AL48" s="1051"/>
      <c r="AM48" s="1047"/>
      <c r="AN48" s="1051"/>
      <c r="AO48" s="1047"/>
      <c r="AP48" s="1051"/>
      <c r="AQ48" s="1047"/>
      <c r="AR48" s="1051"/>
    </row>
    <row r="49" spans="1:44" ht="15.75" customHeight="1" thickBot="1" x14ac:dyDescent="0.25">
      <c r="A49" s="215">
        <v>6580009</v>
      </c>
      <c r="B49" s="1043" t="s">
        <v>153</v>
      </c>
      <c r="C49" s="200">
        <f t="shared" si="18"/>
        <v>0</v>
      </c>
      <c r="D49" s="1033">
        <f>'Budget CR'!C53</f>
        <v>0</v>
      </c>
      <c r="E49" s="1044"/>
      <c r="F49" s="1045"/>
      <c r="G49" s="1046"/>
      <c r="H49" s="1047"/>
      <c r="I49" s="1046"/>
      <c r="J49" s="1047"/>
      <c r="K49" s="1046"/>
      <c r="L49" s="1047"/>
      <c r="M49" s="1046"/>
      <c r="N49" s="1047"/>
      <c r="O49" s="1046"/>
      <c r="P49" s="1047"/>
      <c r="Q49" s="1046"/>
      <c r="R49" s="1047"/>
      <c r="S49" s="1046"/>
      <c r="T49" s="1047"/>
      <c r="U49" s="1046"/>
      <c r="V49" s="1047"/>
      <c r="W49" s="1046"/>
      <c r="X49" s="1067">
        <v>7580029</v>
      </c>
      <c r="Y49" s="1048" t="s">
        <v>77</v>
      </c>
      <c r="Z49" s="233">
        <f t="shared" si="20"/>
        <v>0</v>
      </c>
      <c r="AA49" s="1033">
        <f>'Budget CR'!H53</f>
        <v>0</v>
      </c>
      <c r="AB49" s="1049"/>
      <c r="AC49" s="1045"/>
      <c r="AD49" s="1050"/>
      <c r="AE49" s="1047"/>
      <c r="AF49" s="1050"/>
      <c r="AG49" s="1047"/>
      <c r="AH49" s="1050"/>
      <c r="AI49" s="1047"/>
      <c r="AJ49" s="1050"/>
      <c r="AK49" s="1047"/>
      <c r="AL49" s="1051"/>
      <c r="AM49" s="1047"/>
      <c r="AN49" s="1051"/>
      <c r="AO49" s="1047"/>
      <c r="AP49" s="1051"/>
      <c r="AQ49" s="1047"/>
      <c r="AR49" s="1051"/>
    </row>
    <row r="50" spans="1:44" ht="15.75" customHeight="1" thickBot="1" x14ac:dyDescent="0.25">
      <c r="A50" s="1067">
        <v>6580029</v>
      </c>
      <c r="B50" s="1043" t="s">
        <v>77</v>
      </c>
      <c r="C50" s="200">
        <f t="shared" si="18"/>
        <v>0</v>
      </c>
      <c r="D50" s="1033">
        <f>'Budget CR'!C54</f>
        <v>0</v>
      </c>
      <c r="E50" s="1068"/>
      <c r="F50" s="1069"/>
      <c r="G50" s="1070"/>
      <c r="H50" s="1071"/>
      <c r="I50" s="1070"/>
      <c r="J50" s="1071"/>
      <c r="K50" s="1070"/>
      <c r="L50" s="1071"/>
      <c r="M50" s="1070"/>
      <c r="N50" s="1071"/>
      <c r="O50" s="1070"/>
      <c r="P50" s="1071"/>
      <c r="Q50" s="1070"/>
      <c r="R50" s="1071"/>
      <c r="S50" s="1070"/>
      <c r="T50" s="1071"/>
      <c r="U50" s="1070"/>
      <c r="V50" s="1071"/>
      <c r="W50" s="1070"/>
      <c r="X50" s="1067">
        <v>7581009</v>
      </c>
      <c r="Y50" s="1048" t="s">
        <v>78</v>
      </c>
      <c r="Z50" s="233">
        <f t="shared" si="20"/>
        <v>0</v>
      </c>
      <c r="AA50" s="1033">
        <f>'Budget CR'!H54</f>
        <v>0</v>
      </c>
      <c r="AB50" s="1072"/>
      <c r="AC50" s="1069"/>
      <c r="AD50" s="1073"/>
      <c r="AE50" s="1071"/>
      <c r="AF50" s="1073"/>
      <c r="AG50" s="1071"/>
      <c r="AH50" s="1073"/>
      <c r="AI50" s="1071"/>
      <c r="AJ50" s="1073"/>
      <c r="AK50" s="1071"/>
      <c r="AL50" s="1074"/>
      <c r="AM50" s="1071"/>
      <c r="AN50" s="1074"/>
      <c r="AO50" s="1071"/>
      <c r="AP50" s="1074"/>
      <c r="AQ50" s="1071"/>
      <c r="AR50" s="1074"/>
    </row>
    <row r="51" spans="1:44" ht="12.75" thickBot="1" x14ac:dyDescent="0.25">
      <c r="A51" s="215">
        <v>6581009</v>
      </c>
      <c r="B51" s="1083" t="s">
        <v>78</v>
      </c>
      <c r="C51" s="200">
        <f t="shared" si="18"/>
        <v>0</v>
      </c>
      <c r="D51" s="1033">
        <f>'Budget CR'!C55</f>
        <v>0</v>
      </c>
      <c r="E51" s="1056"/>
      <c r="F51" s="1057"/>
      <c r="G51" s="1058"/>
      <c r="H51" s="1059"/>
      <c r="I51" s="1058"/>
      <c r="J51" s="1059"/>
      <c r="K51" s="1058"/>
      <c r="L51" s="1059"/>
      <c r="M51" s="1058"/>
      <c r="N51" s="1059"/>
      <c r="O51" s="1058"/>
      <c r="P51" s="1059"/>
      <c r="Q51" s="1058"/>
      <c r="R51" s="1059"/>
      <c r="S51" s="1058"/>
      <c r="T51" s="1059"/>
      <c r="U51" s="1058"/>
      <c r="V51" s="1059"/>
      <c r="W51" s="1058"/>
      <c r="X51" s="1067"/>
      <c r="Y51" s="229"/>
      <c r="Z51" s="233">
        <f t="shared" si="20"/>
        <v>0</v>
      </c>
      <c r="AA51" s="1098"/>
      <c r="AB51" s="1062"/>
      <c r="AC51" s="1057"/>
      <c r="AD51" s="1063"/>
      <c r="AE51" s="1059"/>
      <c r="AF51" s="1063"/>
      <c r="AG51" s="1059"/>
      <c r="AH51" s="1063"/>
      <c r="AI51" s="1059"/>
      <c r="AJ51" s="1063"/>
      <c r="AK51" s="1059"/>
      <c r="AL51" s="1064"/>
      <c r="AM51" s="1059"/>
      <c r="AN51" s="1064"/>
      <c r="AO51" s="1059"/>
      <c r="AP51" s="1064"/>
      <c r="AQ51" s="1059"/>
      <c r="AR51" s="1064"/>
    </row>
    <row r="52" spans="1:44" ht="15.75" customHeight="1" thickBot="1" x14ac:dyDescent="0.25">
      <c r="A52" s="198">
        <v>66</v>
      </c>
      <c r="B52" s="199" t="s">
        <v>154</v>
      </c>
      <c r="C52" s="200">
        <f t="shared" si="18"/>
        <v>0</v>
      </c>
      <c r="D52" s="225">
        <f t="shared" ref="D52:W52" si="28">D53</f>
        <v>0</v>
      </c>
      <c r="E52" s="1076">
        <f t="shared" si="28"/>
        <v>0</v>
      </c>
      <c r="F52" s="1077">
        <f t="shared" si="28"/>
        <v>0</v>
      </c>
      <c r="G52" s="226">
        <f t="shared" si="28"/>
        <v>0</v>
      </c>
      <c r="H52" s="225">
        <f t="shared" si="28"/>
        <v>0</v>
      </c>
      <c r="I52" s="226">
        <f t="shared" si="28"/>
        <v>0</v>
      </c>
      <c r="J52" s="225">
        <f t="shared" si="28"/>
        <v>0</v>
      </c>
      <c r="K52" s="226">
        <f t="shared" si="28"/>
        <v>0</v>
      </c>
      <c r="L52" s="225">
        <f t="shared" si="28"/>
        <v>0</v>
      </c>
      <c r="M52" s="226">
        <f t="shared" si="28"/>
        <v>0</v>
      </c>
      <c r="N52" s="225">
        <f t="shared" si="28"/>
        <v>0</v>
      </c>
      <c r="O52" s="226">
        <f t="shared" si="28"/>
        <v>0</v>
      </c>
      <c r="P52" s="225">
        <f t="shared" si="28"/>
        <v>0</v>
      </c>
      <c r="Q52" s="226">
        <f t="shared" si="28"/>
        <v>0</v>
      </c>
      <c r="R52" s="225">
        <f t="shared" si="28"/>
        <v>0</v>
      </c>
      <c r="S52" s="226">
        <f t="shared" si="28"/>
        <v>0</v>
      </c>
      <c r="T52" s="225">
        <f t="shared" si="28"/>
        <v>0</v>
      </c>
      <c r="U52" s="226">
        <f t="shared" si="28"/>
        <v>0</v>
      </c>
      <c r="V52" s="225">
        <f t="shared" si="28"/>
        <v>0</v>
      </c>
      <c r="W52" s="226">
        <f t="shared" si="28"/>
        <v>0</v>
      </c>
      <c r="X52" s="205">
        <v>76</v>
      </c>
      <c r="Y52" s="206" t="s">
        <v>79</v>
      </c>
      <c r="Z52" s="233">
        <f t="shared" si="20"/>
        <v>0</v>
      </c>
      <c r="AA52" s="225">
        <f t="shared" ref="AA52:AR52" si="29">AA53</f>
        <v>0</v>
      </c>
      <c r="AB52" s="1097">
        <f t="shared" si="29"/>
        <v>0</v>
      </c>
      <c r="AC52" s="1077">
        <f t="shared" si="29"/>
        <v>0</v>
      </c>
      <c r="AD52" s="231">
        <f t="shared" si="29"/>
        <v>0</v>
      </c>
      <c r="AE52" s="225">
        <f t="shared" si="29"/>
        <v>0</v>
      </c>
      <c r="AF52" s="231">
        <f t="shared" si="29"/>
        <v>0</v>
      </c>
      <c r="AG52" s="225">
        <f t="shared" si="29"/>
        <v>0</v>
      </c>
      <c r="AH52" s="231">
        <f t="shared" si="29"/>
        <v>0</v>
      </c>
      <c r="AI52" s="225">
        <f t="shared" si="29"/>
        <v>0</v>
      </c>
      <c r="AJ52" s="231">
        <f t="shared" si="29"/>
        <v>0</v>
      </c>
      <c r="AK52" s="225">
        <f t="shared" si="29"/>
        <v>0</v>
      </c>
      <c r="AL52" s="232">
        <f t="shared" si="29"/>
        <v>0</v>
      </c>
      <c r="AM52" s="225">
        <f t="shared" si="29"/>
        <v>0</v>
      </c>
      <c r="AN52" s="232">
        <f t="shared" si="29"/>
        <v>0</v>
      </c>
      <c r="AO52" s="225">
        <f t="shared" si="29"/>
        <v>0</v>
      </c>
      <c r="AP52" s="232">
        <f t="shared" si="29"/>
        <v>0</v>
      </c>
      <c r="AQ52" s="225">
        <f t="shared" si="29"/>
        <v>0</v>
      </c>
      <c r="AR52" s="232">
        <f t="shared" si="29"/>
        <v>0</v>
      </c>
    </row>
    <row r="53" spans="1:44" ht="15.75" customHeight="1" thickBot="1" x14ac:dyDescent="0.25">
      <c r="A53" s="227">
        <v>6600000</v>
      </c>
      <c r="B53" s="1083" t="s">
        <v>154</v>
      </c>
      <c r="C53" s="200">
        <f t="shared" si="18"/>
        <v>0</v>
      </c>
      <c r="D53" s="1099">
        <f>'Budget CR'!C57</f>
        <v>0</v>
      </c>
      <c r="E53" s="1100"/>
      <c r="F53" s="1101"/>
      <c r="G53" s="1102"/>
      <c r="H53" s="1103"/>
      <c r="I53" s="1102"/>
      <c r="J53" s="1103"/>
      <c r="K53" s="1102"/>
      <c r="L53" s="1103"/>
      <c r="M53" s="1102"/>
      <c r="N53" s="1103"/>
      <c r="O53" s="1102"/>
      <c r="P53" s="1103"/>
      <c r="Q53" s="1102"/>
      <c r="R53" s="1103"/>
      <c r="S53" s="1102"/>
      <c r="T53" s="1103"/>
      <c r="U53" s="1102"/>
      <c r="V53" s="1103"/>
      <c r="W53" s="1102"/>
      <c r="X53" s="234">
        <v>7600000</v>
      </c>
      <c r="Y53" s="1104" t="s">
        <v>79</v>
      </c>
      <c r="Z53" s="233">
        <f t="shared" si="20"/>
        <v>0</v>
      </c>
      <c r="AA53" s="1099">
        <f>'Budget CR'!H57</f>
        <v>0</v>
      </c>
      <c r="AB53" s="1105"/>
      <c r="AC53" s="1101"/>
      <c r="AD53" s="1106"/>
      <c r="AE53" s="1103"/>
      <c r="AF53" s="1106"/>
      <c r="AG53" s="1103"/>
      <c r="AH53" s="1106"/>
      <c r="AI53" s="1103"/>
      <c r="AJ53" s="1106"/>
      <c r="AK53" s="1103"/>
      <c r="AL53" s="1107"/>
      <c r="AM53" s="1103"/>
      <c r="AN53" s="1107"/>
      <c r="AO53" s="1103"/>
      <c r="AP53" s="1107"/>
      <c r="AQ53" s="1103"/>
      <c r="AR53" s="1107"/>
    </row>
    <row r="54" spans="1:44" ht="15.75" customHeight="1" thickBot="1" x14ac:dyDescent="0.25">
      <c r="A54" s="198">
        <v>67</v>
      </c>
      <c r="B54" s="199" t="s">
        <v>155</v>
      </c>
      <c r="C54" s="200">
        <f t="shared" si="18"/>
        <v>0</v>
      </c>
      <c r="D54" s="203">
        <f t="shared" ref="D54:W54" si="30">SUM(D55:D57)</f>
        <v>0</v>
      </c>
      <c r="E54" s="1029">
        <f t="shared" si="30"/>
        <v>0</v>
      </c>
      <c r="F54" s="1030">
        <f t="shared" si="30"/>
        <v>0</v>
      </c>
      <c r="G54" s="202">
        <f t="shared" si="30"/>
        <v>0</v>
      </c>
      <c r="H54" s="203">
        <f t="shared" si="30"/>
        <v>0</v>
      </c>
      <c r="I54" s="202">
        <f t="shared" si="30"/>
        <v>0</v>
      </c>
      <c r="J54" s="203">
        <f t="shared" si="30"/>
        <v>0</v>
      </c>
      <c r="K54" s="202">
        <f t="shared" si="30"/>
        <v>0</v>
      </c>
      <c r="L54" s="203">
        <f t="shared" si="30"/>
        <v>0</v>
      </c>
      <c r="M54" s="202">
        <f t="shared" si="30"/>
        <v>0</v>
      </c>
      <c r="N54" s="203">
        <f t="shared" ref="N54:U54" si="31">SUM(N55:N57)</f>
        <v>0</v>
      </c>
      <c r="O54" s="202">
        <f t="shared" si="31"/>
        <v>0</v>
      </c>
      <c r="P54" s="203">
        <f t="shared" si="31"/>
        <v>0</v>
      </c>
      <c r="Q54" s="202">
        <f t="shared" si="31"/>
        <v>0</v>
      </c>
      <c r="R54" s="203">
        <f t="shared" si="31"/>
        <v>0</v>
      </c>
      <c r="S54" s="202">
        <f t="shared" si="31"/>
        <v>0</v>
      </c>
      <c r="T54" s="203">
        <f t="shared" si="31"/>
        <v>0</v>
      </c>
      <c r="U54" s="202">
        <f t="shared" si="31"/>
        <v>0</v>
      </c>
      <c r="V54" s="203">
        <f t="shared" si="30"/>
        <v>0</v>
      </c>
      <c r="W54" s="202">
        <f t="shared" si="30"/>
        <v>0</v>
      </c>
      <c r="X54" s="205">
        <v>77</v>
      </c>
      <c r="Y54" s="206" t="s">
        <v>80</v>
      </c>
      <c r="Z54" s="233">
        <f t="shared" si="20"/>
        <v>0</v>
      </c>
      <c r="AA54" s="203">
        <f t="shared" ref="AA54:AR54" si="32">SUM(AA55:AA59)</f>
        <v>0</v>
      </c>
      <c r="AB54" s="1031">
        <f t="shared" si="32"/>
        <v>0</v>
      </c>
      <c r="AC54" s="1030">
        <f t="shared" si="32"/>
        <v>0</v>
      </c>
      <c r="AD54" s="218">
        <f t="shared" si="32"/>
        <v>0</v>
      </c>
      <c r="AE54" s="203">
        <f t="shared" si="32"/>
        <v>0</v>
      </c>
      <c r="AF54" s="218">
        <f t="shared" si="32"/>
        <v>0</v>
      </c>
      <c r="AG54" s="203">
        <f t="shared" si="32"/>
        <v>0</v>
      </c>
      <c r="AH54" s="218">
        <f t="shared" si="32"/>
        <v>0</v>
      </c>
      <c r="AI54" s="203">
        <f t="shared" si="32"/>
        <v>0</v>
      </c>
      <c r="AJ54" s="218">
        <f t="shared" si="32"/>
        <v>0</v>
      </c>
      <c r="AK54" s="203">
        <f t="shared" ref="AK54:AP54" si="33">SUM(AK55:AK59)</f>
        <v>0</v>
      </c>
      <c r="AL54" s="219">
        <f t="shared" si="33"/>
        <v>0</v>
      </c>
      <c r="AM54" s="203">
        <f t="shared" si="33"/>
        <v>0</v>
      </c>
      <c r="AN54" s="219">
        <f t="shared" si="33"/>
        <v>0</v>
      </c>
      <c r="AO54" s="203">
        <f t="shared" si="33"/>
        <v>0</v>
      </c>
      <c r="AP54" s="219">
        <f t="shared" si="33"/>
        <v>0</v>
      </c>
      <c r="AQ54" s="203">
        <f t="shared" si="32"/>
        <v>0</v>
      </c>
      <c r="AR54" s="219">
        <f t="shared" si="32"/>
        <v>0</v>
      </c>
    </row>
    <row r="55" spans="1:44" ht="15.75" customHeight="1" thickBot="1" x14ac:dyDescent="0.25">
      <c r="A55" s="211">
        <v>6712000</v>
      </c>
      <c r="B55" s="1032" t="s">
        <v>156</v>
      </c>
      <c r="C55" s="200">
        <f t="shared" si="18"/>
        <v>0</v>
      </c>
      <c r="D55" s="1089">
        <f>'Budget CR'!C59</f>
        <v>0</v>
      </c>
      <c r="E55" s="1090"/>
      <c r="F55" s="1091"/>
      <c r="G55" s="1092"/>
      <c r="H55" s="1093"/>
      <c r="I55" s="1092"/>
      <c r="J55" s="1093"/>
      <c r="K55" s="1092"/>
      <c r="L55" s="1093"/>
      <c r="M55" s="1092"/>
      <c r="N55" s="1093"/>
      <c r="O55" s="1092"/>
      <c r="P55" s="1093"/>
      <c r="Q55" s="1092"/>
      <c r="R55" s="1093"/>
      <c r="S55" s="1092"/>
      <c r="T55" s="1093"/>
      <c r="U55" s="1092"/>
      <c r="V55" s="1093"/>
      <c r="W55" s="1092"/>
      <c r="X55" s="235">
        <v>7718000</v>
      </c>
      <c r="Y55" s="236" t="s">
        <v>80</v>
      </c>
      <c r="Z55" s="233">
        <f t="shared" si="20"/>
        <v>0</v>
      </c>
      <c r="AA55" s="1089">
        <f>'Budget CR'!H59</f>
        <v>0</v>
      </c>
      <c r="AB55" s="1108"/>
      <c r="AC55" s="1091"/>
      <c r="AD55" s="1109"/>
      <c r="AE55" s="1093"/>
      <c r="AF55" s="1109"/>
      <c r="AG55" s="1093"/>
      <c r="AH55" s="1109"/>
      <c r="AI55" s="1093"/>
      <c r="AJ55" s="1109"/>
      <c r="AK55" s="1093"/>
      <c r="AL55" s="1110"/>
      <c r="AM55" s="1093"/>
      <c r="AN55" s="1110"/>
      <c r="AO55" s="1093"/>
      <c r="AP55" s="1110"/>
      <c r="AQ55" s="1093"/>
      <c r="AR55" s="1110"/>
    </row>
    <row r="56" spans="1:44" ht="15.75" customHeight="1" thickBot="1" x14ac:dyDescent="0.25">
      <c r="A56" s="227">
        <v>6718000</v>
      </c>
      <c r="B56" s="1083" t="s">
        <v>157</v>
      </c>
      <c r="C56" s="200">
        <f t="shared" si="18"/>
        <v>0</v>
      </c>
      <c r="D56" s="1089">
        <f>'Budget CR'!C60</f>
        <v>0</v>
      </c>
      <c r="E56" s="1044"/>
      <c r="F56" s="1045"/>
      <c r="G56" s="1046"/>
      <c r="H56" s="1047"/>
      <c r="I56" s="1046"/>
      <c r="J56" s="1047"/>
      <c r="K56" s="1046"/>
      <c r="L56" s="1047"/>
      <c r="M56" s="1046"/>
      <c r="N56" s="1047"/>
      <c r="O56" s="1046"/>
      <c r="P56" s="1047"/>
      <c r="Q56" s="1046"/>
      <c r="R56" s="1047"/>
      <c r="S56" s="1046"/>
      <c r="T56" s="1047"/>
      <c r="U56" s="1046"/>
      <c r="V56" s="1047"/>
      <c r="W56" s="1046"/>
      <c r="X56" s="1065">
        <v>7720000</v>
      </c>
      <c r="Y56" s="1038" t="s">
        <v>81</v>
      </c>
      <c r="Z56" s="233">
        <f t="shared" si="20"/>
        <v>0</v>
      </c>
      <c r="AA56" s="1089">
        <f>'Budget CR'!H60</f>
        <v>0</v>
      </c>
      <c r="AB56" s="1049"/>
      <c r="AC56" s="1045"/>
      <c r="AD56" s="1050"/>
      <c r="AE56" s="1047"/>
      <c r="AF56" s="1050"/>
      <c r="AG56" s="1047"/>
      <c r="AH56" s="1050"/>
      <c r="AI56" s="1047"/>
      <c r="AJ56" s="1050"/>
      <c r="AK56" s="1047"/>
      <c r="AL56" s="1051"/>
      <c r="AM56" s="1047"/>
      <c r="AN56" s="1051"/>
      <c r="AO56" s="1047"/>
      <c r="AP56" s="1051"/>
      <c r="AQ56" s="1047"/>
      <c r="AR56" s="1051"/>
    </row>
    <row r="57" spans="1:44" ht="16.5" customHeight="1" thickBot="1" x14ac:dyDescent="0.25">
      <c r="A57" s="215">
        <v>6750000</v>
      </c>
      <c r="B57" s="1094" t="s">
        <v>158</v>
      </c>
      <c r="C57" s="200">
        <f t="shared" si="18"/>
        <v>0</v>
      </c>
      <c r="D57" s="1089">
        <f>'Budget CR'!C61</f>
        <v>0</v>
      </c>
      <c r="E57" s="1079"/>
      <c r="F57" s="1080"/>
      <c r="G57" s="1081"/>
      <c r="H57" s="1082"/>
      <c r="I57" s="1081"/>
      <c r="J57" s="1082"/>
      <c r="K57" s="1081"/>
      <c r="L57" s="1082"/>
      <c r="M57" s="1081"/>
      <c r="N57" s="1082"/>
      <c r="O57" s="1081"/>
      <c r="P57" s="1082"/>
      <c r="Q57" s="1081"/>
      <c r="R57" s="1082"/>
      <c r="S57" s="1081"/>
      <c r="T57" s="1082"/>
      <c r="U57" s="1081"/>
      <c r="V57" s="1082"/>
      <c r="W57" s="1081"/>
      <c r="X57" s="1067">
        <v>7750000</v>
      </c>
      <c r="Y57" s="1048" t="s">
        <v>82</v>
      </c>
      <c r="Z57" s="233">
        <f t="shared" si="20"/>
        <v>0</v>
      </c>
      <c r="AA57" s="1089">
        <f>'Budget CR'!H61</f>
        <v>0</v>
      </c>
      <c r="AB57" s="1072"/>
      <c r="AC57" s="1069"/>
      <c r="AD57" s="1073"/>
      <c r="AE57" s="1071"/>
      <c r="AF57" s="1073"/>
      <c r="AG57" s="1071"/>
      <c r="AH57" s="1073"/>
      <c r="AI57" s="1071"/>
      <c r="AJ57" s="1073"/>
      <c r="AK57" s="1071"/>
      <c r="AL57" s="1074"/>
      <c r="AM57" s="1071"/>
      <c r="AN57" s="1074"/>
      <c r="AO57" s="1071"/>
      <c r="AP57" s="1074"/>
      <c r="AQ57" s="1071"/>
      <c r="AR57" s="1074"/>
    </row>
    <row r="58" spans="1:44" ht="15.75" customHeight="1" thickBot="1" x14ac:dyDescent="0.25">
      <c r="A58" s="205">
        <v>68</v>
      </c>
      <c r="B58" s="199" t="s">
        <v>159</v>
      </c>
      <c r="C58" s="200">
        <f t="shared" si="18"/>
        <v>0</v>
      </c>
      <c r="D58" s="203">
        <f t="shared" ref="D58:W58" si="34">SUM(D59:D60)</f>
        <v>0</v>
      </c>
      <c r="E58" s="1029">
        <f t="shared" si="34"/>
        <v>0</v>
      </c>
      <c r="F58" s="1030">
        <f t="shared" si="34"/>
        <v>0</v>
      </c>
      <c r="G58" s="202">
        <f t="shared" si="34"/>
        <v>0</v>
      </c>
      <c r="H58" s="203">
        <f t="shared" si="34"/>
        <v>0</v>
      </c>
      <c r="I58" s="202">
        <f t="shared" si="34"/>
        <v>0</v>
      </c>
      <c r="J58" s="203">
        <f t="shared" si="34"/>
        <v>0</v>
      </c>
      <c r="K58" s="202">
        <f t="shared" si="34"/>
        <v>0</v>
      </c>
      <c r="L58" s="203">
        <f t="shared" si="34"/>
        <v>0</v>
      </c>
      <c r="M58" s="202">
        <f t="shared" si="34"/>
        <v>0</v>
      </c>
      <c r="N58" s="203">
        <f t="shared" ref="N58:U58" si="35">SUM(N59:N60)</f>
        <v>0</v>
      </c>
      <c r="O58" s="202">
        <f t="shared" si="35"/>
        <v>0</v>
      </c>
      <c r="P58" s="203">
        <f t="shared" si="35"/>
        <v>0</v>
      </c>
      <c r="Q58" s="202">
        <f t="shared" si="35"/>
        <v>0</v>
      </c>
      <c r="R58" s="203">
        <f t="shared" si="35"/>
        <v>0</v>
      </c>
      <c r="S58" s="202">
        <f t="shared" si="35"/>
        <v>0</v>
      </c>
      <c r="T58" s="203">
        <f t="shared" si="35"/>
        <v>0</v>
      </c>
      <c r="U58" s="202">
        <f t="shared" si="35"/>
        <v>0</v>
      </c>
      <c r="V58" s="203">
        <f t="shared" si="34"/>
        <v>0</v>
      </c>
      <c r="W58" s="202">
        <f t="shared" si="34"/>
        <v>0</v>
      </c>
      <c r="X58" s="1067">
        <v>7770000</v>
      </c>
      <c r="Y58" s="1048" t="s">
        <v>83</v>
      </c>
      <c r="Z58" s="233">
        <f t="shared" si="20"/>
        <v>0</v>
      </c>
      <c r="AA58" s="1089">
        <f>'Budget CR'!H62</f>
        <v>0</v>
      </c>
      <c r="AB58" s="1072"/>
      <c r="AC58" s="1069"/>
      <c r="AD58" s="1073"/>
      <c r="AE58" s="1071"/>
      <c r="AF58" s="1073"/>
      <c r="AG58" s="1071"/>
      <c r="AH58" s="1073"/>
      <c r="AI58" s="1071"/>
      <c r="AJ58" s="1073"/>
      <c r="AK58" s="1071"/>
      <c r="AL58" s="1074"/>
      <c r="AM58" s="1071"/>
      <c r="AN58" s="1074"/>
      <c r="AO58" s="1071"/>
      <c r="AP58" s="1074"/>
      <c r="AQ58" s="1071"/>
      <c r="AR58" s="1074"/>
    </row>
    <row r="59" spans="1:44" ht="15.75" customHeight="1" thickBot="1" x14ac:dyDescent="0.25">
      <c r="A59" s="211">
        <v>6810000</v>
      </c>
      <c r="B59" s="1032" t="s">
        <v>160</v>
      </c>
      <c r="C59" s="200">
        <f t="shared" si="18"/>
        <v>0</v>
      </c>
      <c r="D59" s="1089">
        <f>'Budget CR'!C63</f>
        <v>0</v>
      </c>
      <c r="E59" s="1090"/>
      <c r="F59" s="1091"/>
      <c r="G59" s="1092"/>
      <c r="H59" s="1093"/>
      <c r="I59" s="1092"/>
      <c r="J59" s="1093"/>
      <c r="K59" s="1092"/>
      <c r="L59" s="1093"/>
      <c r="M59" s="1092"/>
      <c r="N59" s="1093"/>
      <c r="O59" s="1092"/>
      <c r="P59" s="1093"/>
      <c r="Q59" s="1092"/>
      <c r="R59" s="1093"/>
      <c r="S59" s="1092"/>
      <c r="T59" s="1093"/>
      <c r="U59" s="1092"/>
      <c r="V59" s="1093"/>
      <c r="W59" s="1092"/>
      <c r="X59" s="1095">
        <v>7815000</v>
      </c>
      <c r="Y59" s="1060" t="s">
        <v>84</v>
      </c>
      <c r="Z59" s="233">
        <f t="shared" si="20"/>
        <v>0</v>
      </c>
      <c r="AA59" s="1089">
        <f>'Budget CR'!H63</f>
        <v>0</v>
      </c>
      <c r="AB59" s="1111"/>
      <c r="AC59" s="1080"/>
      <c r="AD59" s="1112"/>
      <c r="AE59" s="1082"/>
      <c r="AF59" s="1112"/>
      <c r="AG59" s="1082"/>
      <c r="AH59" s="1112"/>
      <c r="AI59" s="1082"/>
      <c r="AJ59" s="1112"/>
      <c r="AK59" s="1082"/>
      <c r="AL59" s="1113"/>
      <c r="AM59" s="1082"/>
      <c r="AN59" s="1113"/>
      <c r="AO59" s="1082"/>
      <c r="AP59" s="1113"/>
      <c r="AQ59" s="1082"/>
      <c r="AR59" s="1113"/>
    </row>
    <row r="60" spans="1:44" ht="12.75" thickBot="1" x14ac:dyDescent="0.25">
      <c r="A60" s="1054">
        <v>6815000</v>
      </c>
      <c r="B60" s="1055" t="s">
        <v>161</v>
      </c>
      <c r="C60" s="200">
        <f t="shared" si="18"/>
        <v>0</v>
      </c>
      <c r="D60" s="1089">
        <f>'Budget CR'!C64</f>
        <v>0</v>
      </c>
      <c r="E60" s="489"/>
      <c r="F60" s="490"/>
      <c r="G60" s="1114"/>
      <c r="H60" s="1115"/>
      <c r="I60" s="1114"/>
      <c r="J60" s="1115"/>
      <c r="K60" s="1114"/>
      <c r="L60" s="1115"/>
      <c r="M60" s="1114"/>
      <c r="N60" s="1115"/>
      <c r="O60" s="1114"/>
      <c r="P60" s="1115"/>
      <c r="Q60" s="1114"/>
      <c r="R60" s="1115"/>
      <c r="S60" s="1114"/>
      <c r="T60" s="1115"/>
      <c r="U60" s="1114"/>
      <c r="V60" s="1115"/>
      <c r="W60" s="1114"/>
      <c r="X60" s="205">
        <v>7910000</v>
      </c>
      <c r="Y60" s="206" t="s">
        <v>85</v>
      </c>
      <c r="Z60" s="237">
        <f t="shared" si="20"/>
        <v>0</v>
      </c>
      <c r="AA60" s="238">
        <f>'Budget CR'!H64</f>
        <v>0</v>
      </c>
      <c r="AB60" s="483"/>
      <c r="AC60" s="493"/>
      <c r="AD60" s="239"/>
      <c r="AE60" s="240"/>
      <c r="AF60" s="239"/>
      <c r="AG60" s="240"/>
      <c r="AH60" s="239"/>
      <c r="AI60" s="240"/>
      <c r="AJ60" s="239"/>
      <c r="AK60" s="240"/>
      <c r="AL60" s="241"/>
      <c r="AM60" s="240"/>
      <c r="AN60" s="241"/>
      <c r="AO60" s="240"/>
      <c r="AP60" s="241"/>
      <c r="AQ60" s="240"/>
      <c r="AR60" s="241"/>
    </row>
    <row r="61" spans="1:44" ht="15.75" customHeight="1" thickBot="1" x14ac:dyDescent="0.25">
      <c r="B61" s="198" t="s">
        <v>162</v>
      </c>
      <c r="C61" s="200">
        <f t="shared" si="18"/>
        <v>43816.020000000004</v>
      </c>
      <c r="D61" s="242">
        <f t="shared" ref="D61:W61" si="36">D58+D54+D52+D43+D39+D37+D28+D17+D5</f>
        <v>43816.020000000004</v>
      </c>
      <c r="E61" s="491">
        <f t="shared" si="36"/>
        <v>0</v>
      </c>
      <c r="F61" s="492">
        <f t="shared" si="36"/>
        <v>0</v>
      </c>
      <c r="G61" s="243">
        <f t="shared" si="36"/>
        <v>0</v>
      </c>
      <c r="H61" s="238">
        <f t="shared" si="36"/>
        <v>0</v>
      </c>
      <c r="I61" s="243">
        <f t="shared" si="36"/>
        <v>0</v>
      </c>
      <c r="J61" s="238">
        <f t="shared" si="36"/>
        <v>0</v>
      </c>
      <c r="K61" s="243">
        <f t="shared" si="36"/>
        <v>0</v>
      </c>
      <c r="L61" s="238">
        <f t="shared" si="36"/>
        <v>0</v>
      </c>
      <c r="M61" s="243">
        <f t="shared" si="36"/>
        <v>0</v>
      </c>
      <c r="N61" s="238">
        <f t="shared" ref="N61:U61" si="37">N58+N54+N52+N43+N39+N37+N28+N17+N5</f>
        <v>0</v>
      </c>
      <c r="O61" s="244">
        <f t="shared" si="37"/>
        <v>0</v>
      </c>
      <c r="P61" s="238">
        <f t="shared" si="37"/>
        <v>0</v>
      </c>
      <c r="Q61" s="244">
        <f t="shared" si="37"/>
        <v>0</v>
      </c>
      <c r="R61" s="238">
        <f t="shared" si="37"/>
        <v>0</v>
      </c>
      <c r="S61" s="244">
        <f t="shared" si="37"/>
        <v>0</v>
      </c>
      <c r="T61" s="238">
        <f t="shared" si="37"/>
        <v>0</v>
      </c>
      <c r="U61" s="244">
        <f t="shared" si="37"/>
        <v>0</v>
      </c>
      <c r="V61" s="238">
        <f t="shared" si="36"/>
        <v>0</v>
      </c>
      <c r="W61" s="244">
        <f t="shared" si="36"/>
        <v>0</v>
      </c>
      <c r="X61" s="245"/>
      <c r="Y61" s="198" t="s">
        <v>86</v>
      </c>
      <c r="Z61" s="223">
        <f t="shared" si="20"/>
        <v>34242.97</v>
      </c>
      <c r="AA61" s="242">
        <f t="shared" ref="AA61:AR61" si="38">AA60+AA54+AA52+AA43+AA17+AA5</f>
        <v>34242.97</v>
      </c>
      <c r="AB61" s="484">
        <f t="shared" si="38"/>
        <v>0</v>
      </c>
      <c r="AC61" s="492">
        <f t="shared" si="38"/>
        <v>0</v>
      </c>
      <c r="AD61" s="246">
        <f t="shared" si="38"/>
        <v>0</v>
      </c>
      <c r="AE61" s="238">
        <f t="shared" si="38"/>
        <v>0</v>
      </c>
      <c r="AF61" s="246">
        <f t="shared" si="38"/>
        <v>0</v>
      </c>
      <c r="AG61" s="238">
        <f t="shared" si="38"/>
        <v>0</v>
      </c>
      <c r="AH61" s="246">
        <f t="shared" si="38"/>
        <v>0</v>
      </c>
      <c r="AI61" s="238">
        <f t="shared" si="38"/>
        <v>0</v>
      </c>
      <c r="AJ61" s="246">
        <f t="shared" si="38"/>
        <v>0</v>
      </c>
      <c r="AK61" s="238">
        <f t="shared" ref="AK61:AP61" si="39">AK60+AK54+AK52+AK43+AK17+AK5</f>
        <v>0</v>
      </c>
      <c r="AL61" s="247">
        <f t="shared" si="39"/>
        <v>0</v>
      </c>
      <c r="AM61" s="238">
        <f t="shared" si="39"/>
        <v>0</v>
      </c>
      <c r="AN61" s="247">
        <f t="shared" si="39"/>
        <v>0</v>
      </c>
      <c r="AO61" s="238">
        <f t="shared" si="39"/>
        <v>0</v>
      </c>
      <c r="AP61" s="247">
        <f t="shared" si="39"/>
        <v>0</v>
      </c>
      <c r="AQ61" s="238">
        <f t="shared" si="38"/>
        <v>0</v>
      </c>
      <c r="AR61" s="247">
        <f t="shared" si="38"/>
        <v>0</v>
      </c>
    </row>
    <row r="62" spans="1:44" ht="15.75" customHeight="1" thickBot="1" x14ac:dyDescent="0.25">
      <c r="X62" s="136"/>
      <c r="Y62" s="248"/>
      <c r="AB62" s="249"/>
    </row>
    <row r="63" spans="1:44" ht="15.75" customHeight="1" thickBot="1" x14ac:dyDescent="0.25">
      <c r="B63" s="250" t="s">
        <v>245</v>
      </c>
      <c r="C63" s="243">
        <f>SUM(D63:W63)</f>
        <v>-9573.0500000000029</v>
      </c>
      <c r="D63" s="238">
        <f t="shared" ref="D63:W63" si="40">+AA61-D61</f>
        <v>-9573.0500000000029</v>
      </c>
      <c r="E63" s="243">
        <f t="shared" si="40"/>
        <v>0</v>
      </c>
      <c r="F63" s="238">
        <f t="shared" si="40"/>
        <v>0</v>
      </c>
      <c r="G63" s="243">
        <f t="shared" si="40"/>
        <v>0</v>
      </c>
      <c r="H63" s="238">
        <f t="shared" si="40"/>
        <v>0</v>
      </c>
      <c r="I63" s="243">
        <f t="shared" si="40"/>
        <v>0</v>
      </c>
      <c r="J63" s="238">
        <f t="shared" si="40"/>
        <v>0</v>
      </c>
      <c r="K63" s="243">
        <f t="shared" si="40"/>
        <v>0</v>
      </c>
      <c r="L63" s="238">
        <f t="shared" si="40"/>
        <v>0</v>
      </c>
      <c r="M63" s="243">
        <f t="shared" si="40"/>
        <v>0</v>
      </c>
      <c r="N63" s="238">
        <f t="shared" si="40"/>
        <v>0</v>
      </c>
      <c r="O63" s="243">
        <f t="shared" si="40"/>
        <v>0</v>
      </c>
      <c r="P63" s="238">
        <f t="shared" si="40"/>
        <v>0</v>
      </c>
      <c r="Q63" s="243">
        <f t="shared" si="40"/>
        <v>0</v>
      </c>
      <c r="R63" s="238">
        <f t="shared" si="40"/>
        <v>0</v>
      </c>
      <c r="S63" s="243">
        <f t="shared" si="40"/>
        <v>0</v>
      </c>
      <c r="T63" s="238">
        <f t="shared" si="40"/>
        <v>0</v>
      </c>
      <c r="U63" s="243">
        <f t="shared" si="40"/>
        <v>0</v>
      </c>
      <c r="V63" s="238">
        <f t="shared" si="40"/>
        <v>0</v>
      </c>
      <c r="W63" s="243">
        <f t="shared" si="40"/>
        <v>0</v>
      </c>
      <c r="X63" s="136"/>
      <c r="Y63" s="248"/>
      <c r="AB63" s="249"/>
    </row>
    <row r="64" spans="1:44" ht="15.75" customHeight="1" thickBot="1" x14ac:dyDescent="0.25">
      <c r="X64" s="136"/>
      <c r="Y64" s="248"/>
      <c r="AB64" s="249"/>
    </row>
    <row r="65" spans="2:23" ht="15.75" customHeight="1" thickBot="1" x14ac:dyDescent="0.25">
      <c r="B65" s="251" t="s">
        <v>827</v>
      </c>
      <c r="C65" s="252">
        <f>SUM(D65:W65)</f>
        <v>43816.020000000004</v>
      </c>
      <c r="D65" s="253">
        <f t="shared" ref="D65:W65" si="41">D5+D17+D28+D37+D39+D43+D52+D54+D58</f>
        <v>43816.020000000004</v>
      </c>
      <c r="E65" s="254">
        <f t="shared" si="41"/>
        <v>0</v>
      </c>
      <c r="F65" s="253">
        <f t="shared" si="41"/>
        <v>0</v>
      </c>
      <c r="G65" s="254">
        <f t="shared" si="41"/>
        <v>0</v>
      </c>
      <c r="H65" s="253">
        <f t="shared" si="41"/>
        <v>0</v>
      </c>
      <c r="I65" s="254">
        <f t="shared" si="41"/>
        <v>0</v>
      </c>
      <c r="J65" s="253">
        <f t="shared" si="41"/>
        <v>0</v>
      </c>
      <c r="K65" s="254">
        <f t="shared" si="41"/>
        <v>0</v>
      </c>
      <c r="L65" s="253">
        <f t="shared" si="41"/>
        <v>0</v>
      </c>
      <c r="M65" s="254">
        <f t="shared" si="41"/>
        <v>0</v>
      </c>
      <c r="N65" s="253">
        <f t="shared" ref="N65:U65" si="42">N5+N17+N28+N37+N39+N43+N52+N54+N58</f>
        <v>0</v>
      </c>
      <c r="O65" s="254">
        <f t="shared" si="42"/>
        <v>0</v>
      </c>
      <c r="P65" s="253">
        <f t="shared" si="42"/>
        <v>0</v>
      </c>
      <c r="Q65" s="254">
        <f t="shared" si="42"/>
        <v>0</v>
      </c>
      <c r="R65" s="253">
        <f t="shared" si="42"/>
        <v>0</v>
      </c>
      <c r="S65" s="254">
        <f t="shared" si="42"/>
        <v>0</v>
      </c>
      <c r="T65" s="253">
        <f t="shared" si="42"/>
        <v>0</v>
      </c>
      <c r="U65" s="254">
        <f t="shared" si="42"/>
        <v>0</v>
      </c>
      <c r="V65" s="253">
        <f t="shared" si="41"/>
        <v>0</v>
      </c>
      <c r="W65" s="254">
        <f t="shared" si="41"/>
        <v>0</v>
      </c>
    </row>
    <row r="66" spans="2:23" ht="15.75" customHeight="1" thickBot="1" x14ac:dyDescent="0.25"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</row>
    <row r="67" spans="2:23" ht="15.75" customHeight="1" thickBot="1" x14ac:dyDescent="0.25">
      <c r="B67" s="256" t="s">
        <v>828</v>
      </c>
      <c r="C67" s="257">
        <f>SUM(D67:W67)</f>
        <v>34242.97</v>
      </c>
      <c r="D67" s="258">
        <f t="shared" ref="D67:M67" si="43">AA5+AA17+AA43</f>
        <v>34242.97</v>
      </c>
      <c r="E67" s="259">
        <f t="shared" si="43"/>
        <v>0</v>
      </c>
      <c r="F67" s="258">
        <f t="shared" si="43"/>
        <v>0</v>
      </c>
      <c r="G67" s="259">
        <f t="shared" si="43"/>
        <v>0</v>
      </c>
      <c r="H67" s="258">
        <f t="shared" si="43"/>
        <v>0</v>
      </c>
      <c r="I67" s="259">
        <f t="shared" si="43"/>
        <v>0</v>
      </c>
      <c r="J67" s="258">
        <f t="shared" si="43"/>
        <v>0</v>
      </c>
      <c r="K67" s="259">
        <f t="shared" si="43"/>
        <v>0</v>
      </c>
      <c r="L67" s="258">
        <f t="shared" si="43"/>
        <v>0</v>
      </c>
      <c r="M67" s="259">
        <f t="shared" si="43"/>
        <v>0</v>
      </c>
      <c r="N67" s="258">
        <f t="shared" ref="N67" si="44">AB5+AB17+AB43</f>
        <v>0</v>
      </c>
      <c r="O67" s="259">
        <f t="shared" ref="O67:P67" si="45">AC5+AC17+AC43</f>
        <v>0</v>
      </c>
      <c r="P67" s="258">
        <f t="shared" si="45"/>
        <v>0</v>
      </c>
      <c r="Q67" s="259">
        <f t="shared" ref="Q67:R67" si="46">AE5+AE17+AE43</f>
        <v>0</v>
      </c>
      <c r="R67" s="258">
        <f t="shared" si="46"/>
        <v>0</v>
      </c>
      <c r="S67" s="259">
        <f t="shared" ref="S67:T67" si="47">AG5+AG17+AG43</f>
        <v>0</v>
      </c>
      <c r="T67" s="258">
        <f t="shared" si="47"/>
        <v>0</v>
      </c>
      <c r="U67" s="259">
        <f t="shared" ref="U67" si="48">AI5+AI17+AI43</f>
        <v>0</v>
      </c>
      <c r="V67" s="258">
        <f>AQ5+AQ17+AQ43</f>
        <v>0</v>
      </c>
      <c r="W67" s="259">
        <f t="shared" ref="W67" si="49">AR5+AR17+AR43</f>
        <v>0</v>
      </c>
    </row>
    <row r="68" spans="2:23" ht="15.75" customHeight="1" thickBot="1" x14ac:dyDescent="0.25">
      <c r="C68" s="255"/>
      <c r="D68" s="255"/>
      <c r="E68" s="260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</row>
    <row r="69" spans="2:23" s="261" customFormat="1" ht="15.75" customHeight="1" thickBot="1" x14ac:dyDescent="0.25">
      <c r="B69" s="262" t="s">
        <v>829</v>
      </c>
      <c r="C69" s="263">
        <f t="shared" ref="C69:W69" si="50">C67-C65</f>
        <v>-9573.0500000000029</v>
      </c>
      <c r="D69" s="264">
        <f t="shared" si="50"/>
        <v>-9573.0500000000029</v>
      </c>
      <c r="E69" s="263">
        <f t="shared" si="50"/>
        <v>0</v>
      </c>
      <c r="F69" s="265">
        <f t="shared" si="50"/>
        <v>0</v>
      </c>
      <c r="G69" s="266">
        <f t="shared" si="50"/>
        <v>0</v>
      </c>
      <c r="H69" s="265">
        <f t="shared" si="50"/>
        <v>0</v>
      </c>
      <c r="I69" s="263">
        <f t="shared" si="50"/>
        <v>0</v>
      </c>
      <c r="J69" s="265">
        <f t="shared" si="50"/>
        <v>0</v>
      </c>
      <c r="K69" s="266">
        <f t="shared" si="50"/>
        <v>0</v>
      </c>
      <c r="L69" s="264">
        <f t="shared" si="50"/>
        <v>0</v>
      </c>
      <c r="M69" s="266">
        <f t="shared" si="50"/>
        <v>0</v>
      </c>
      <c r="N69" s="264">
        <f t="shared" ref="N69:U69" si="51">N67-N65</f>
        <v>0</v>
      </c>
      <c r="O69" s="266">
        <f t="shared" si="51"/>
        <v>0</v>
      </c>
      <c r="P69" s="264">
        <f t="shared" si="51"/>
        <v>0</v>
      </c>
      <c r="Q69" s="266">
        <f t="shared" si="51"/>
        <v>0</v>
      </c>
      <c r="R69" s="264">
        <f t="shared" si="51"/>
        <v>0</v>
      </c>
      <c r="S69" s="266">
        <f t="shared" si="51"/>
        <v>0</v>
      </c>
      <c r="T69" s="264">
        <f t="shared" si="51"/>
        <v>0</v>
      </c>
      <c r="U69" s="266">
        <f t="shared" si="51"/>
        <v>0</v>
      </c>
      <c r="V69" s="264">
        <f t="shared" si="50"/>
        <v>0</v>
      </c>
      <c r="W69" s="266">
        <f t="shared" si="50"/>
        <v>0</v>
      </c>
    </row>
    <row r="70" spans="2:23" ht="15.75" customHeight="1" thickBot="1" x14ac:dyDescent="0.25">
      <c r="C70" s="255"/>
      <c r="D70" s="267"/>
      <c r="E70" s="255"/>
      <c r="F70" s="255"/>
      <c r="G70" s="267"/>
      <c r="H70" s="255"/>
      <c r="I70" s="255"/>
      <c r="J70" s="255"/>
      <c r="K70" s="268"/>
      <c r="L70" s="267"/>
      <c r="M70" s="268"/>
      <c r="N70" s="268"/>
      <c r="O70" s="267"/>
      <c r="P70" s="268"/>
      <c r="Q70" s="267"/>
      <c r="R70" s="268"/>
      <c r="S70" s="267"/>
      <c r="T70" s="268"/>
      <c r="U70" s="267"/>
      <c r="V70" s="268"/>
      <c r="W70" s="267"/>
    </row>
    <row r="71" spans="2:23" ht="15.75" customHeight="1" thickBot="1" x14ac:dyDescent="0.25">
      <c r="B71" s="256" t="s">
        <v>830</v>
      </c>
      <c r="C71" s="269">
        <f t="shared" ref="C71:W71" si="52">C69/C65</f>
        <v>-0.21848287452854007</v>
      </c>
      <c r="D71" s="270">
        <f t="shared" si="52"/>
        <v>-0.21848287452854007</v>
      </c>
      <c r="E71" s="269" t="e">
        <f t="shared" si="52"/>
        <v>#DIV/0!</v>
      </c>
      <c r="F71" s="271" t="e">
        <f t="shared" si="52"/>
        <v>#DIV/0!</v>
      </c>
      <c r="G71" s="272" t="e">
        <f t="shared" si="52"/>
        <v>#DIV/0!</v>
      </c>
      <c r="H71" s="271" t="e">
        <f t="shared" si="52"/>
        <v>#DIV/0!</v>
      </c>
      <c r="I71" s="269" t="e">
        <f t="shared" si="52"/>
        <v>#DIV/0!</v>
      </c>
      <c r="J71" s="271" t="e">
        <f t="shared" si="52"/>
        <v>#DIV/0!</v>
      </c>
      <c r="K71" s="273" t="e">
        <f t="shared" si="52"/>
        <v>#DIV/0!</v>
      </c>
      <c r="L71" s="270" t="e">
        <f t="shared" si="52"/>
        <v>#DIV/0!</v>
      </c>
      <c r="M71" s="273" t="e">
        <f t="shared" si="52"/>
        <v>#DIV/0!</v>
      </c>
      <c r="N71" s="274" t="e">
        <f t="shared" ref="N71:U71" si="53">N69/N65</f>
        <v>#DIV/0!</v>
      </c>
      <c r="O71" s="272" t="e">
        <f t="shared" si="53"/>
        <v>#DIV/0!</v>
      </c>
      <c r="P71" s="274" t="e">
        <f t="shared" si="53"/>
        <v>#DIV/0!</v>
      </c>
      <c r="Q71" s="272" t="e">
        <f t="shared" si="53"/>
        <v>#DIV/0!</v>
      </c>
      <c r="R71" s="274" t="e">
        <f t="shared" si="53"/>
        <v>#DIV/0!</v>
      </c>
      <c r="S71" s="272" t="e">
        <f t="shared" si="53"/>
        <v>#DIV/0!</v>
      </c>
      <c r="T71" s="274" t="e">
        <f t="shared" si="53"/>
        <v>#DIV/0!</v>
      </c>
      <c r="U71" s="272" t="e">
        <f t="shared" si="53"/>
        <v>#DIV/0!</v>
      </c>
      <c r="V71" s="274" t="e">
        <f t="shared" si="52"/>
        <v>#DIV/0!</v>
      </c>
      <c r="W71" s="272" t="e">
        <f t="shared" si="52"/>
        <v>#DIV/0!</v>
      </c>
    </row>
    <row r="72" spans="2:23" ht="15.75" customHeight="1" thickBot="1" x14ac:dyDescent="0.25"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</row>
    <row r="73" spans="2:23" ht="15.75" customHeight="1" thickBot="1" x14ac:dyDescent="0.25">
      <c r="B73" s="251" t="s">
        <v>831</v>
      </c>
      <c r="C73" s="275">
        <f>SUM(D73:W73)</f>
        <v>1132.25</v>
      </c>
      <c r="D73" s="276">
        <f t="shared" ref="D73:M73" si="54">(AA6+AA9+AA11+AA12+AA14+AA16)*0.07</f>
        <v>1132.25</v>
      </c>
      <c r="E73" s="275">
        <f t="shared" si="54"/>
        <v>0</v>
      </c>
      <c r="F73" s="276">
        <f t="shared" si="54"/>
        <v>0</v>
      </c>
      <c r="G73" s="275">
        <f t="shared" si="54"/>
        <v>0</v>
      </c>
      <c r="H73" s="276">
        <f t="shared" si="54"/>
        <v>0</v>
      </c>
      <c r="I73" s="275">
        <f t="shared" si="54"/>
        <v>0</v>
      </c>
      <c r="J73" s="276">
        <f t="shared" si="54"/>
        <v>0</v>
      </c>
      <c r="K73" s="275">
        <f t="shared" si="54"/>
        <v>0</v>
      </c>
      <c r="L73" s="276">
        <f t="shared" si="54"/>
        <v>0</v>
      </c>
      <c r="M73" s="275">
        <f t="shared" si="54"/>
        <v>0</v>
      </c>
      <c r="N73" s="276">
        <f t="shared" ref="N73" si="55">(AB6+AB9+AB11+AB12+AB14+AB16)*0.07</f>
        <v>0</v>
      </c>
      <c r="O73" s="275">
        <f t="shared" ref="O73:P73" si="56">(AC6+AC9+AC11+AC12+AC14+AC16)*0.07</f>
        <v>0</v>
      </c>
      <c r="P73" s="276">
        <f t="shared" si="56"/>
        <v>0</v>
      </c>
      <c r="Q73" s="275">
        <f t="shared" ref="Q73:R73" si="57">(AE6+AE9+AE11+AE12+AE14+AE16)*0.07</f>
        <v>0</v>
      </c>
      <c r="R73" s="276">
        <f t="shared" si="57"/>
        <v>0</v>
      </c>
      <c r="S73" s="275">
        <f t="shared" ref="S73:T73" si="58">(AG6+AG9+AG11+AG12+AG14+AG16)*0.07</f>
        <v>0</v>
      </c>
      <c r="T73" s="276">
        <f t="shared" si="58"/>
        <v>0</v>
      </c>
      <c r="U73" s="275">
        <f t="shared" ref="U73" si="59">(AI6+AI9+AI11+AI12+AI14+AI16)*0.07</f>
        <v>0</v>
      </c>
      <c r="V73" s="276">
        <f>(AQ6+AQ9+AQ11+AQ12+AQ14+AQ16)*0.07</f>
        <v>0</v>
      </c>
      <c r="W73" s="275">
        <f t="shared" ref="W73" si="60">(AR6+AR9+AR11+AR12+AR14+AR16)*0.07</f>
        <v>0</v>
      </c>
    </row>
  </sheetData>
  <sheetProtection sheet="1" selectLockedCells="1"/>
  <mergeCells count="41">
    <mergeCell ref="AD3:AD4"/>
    <mergeCell ref="AE3:AE4"/>
    <mergeCell ref="AF3:AF4"/>
    <mergeCell ref="S3:S4"/>
    <mergeCell ref="T3:T4"/>
    <mergeCell ref="U3:U4"/>
    <mergeCell ref="AB3:AB4"/>
    <mergeCell ref="AC3:AC4"/>
    <mergeCell ref="N3:N4"/>
    <mergeCell ref="O3:O4"/>
    <mergeCell ref="P3:P4"/>
    <mergeCell ref="Q3:Q4"/>
    <mergeCell ref="R3:R4"/>
    <mergeCell ref="A1:AR1"/>
    <mergeCell ref="B3:B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V3:V4"/>
    <mergeCell ref="W3:W4"/>
    <mergeCell ref="Y3:Y4"/>
    <mergeCell ref="AA3:AA4"/>
    <mergeCell ref="AR3:AR4"/>
    <mergeCell ref="AG3:AG4"/>
    <mergeCell ref="AH3:AH4"/>
    <mergeCell ref="AI3:AI4"/>
    <mergeCell ref="AJ3:AJ4"/>
    <mergeCell ref="AQ3:AQ4"/>
    <mergeCell ref="AL3:AL4"/>
    <mergeCell ref="AK3:AK4"/>
    <mergeCell ref="AP3:AP4"/>
    <mergeCell ref="AM3:AM4"/>
    <mergeCell ref="AN3:AN4"/>
    <mergeCell ref="AO3:AO4"/>
  </mergeCell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&amp;C&amp;1#&amp;"Calibri"&amp;10&amp;K000000Usage Interne / Internal Use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MW73"/>
  <sheetViews>
    <sheetView workbookViewId="0">
      <selection sqref="A1:AP1"/>
    </sheetView>
  </sheetViews>
  <sheetFormatPr defaultColWidth="9.140625" defaultRowHeight="12" x14ac:dyDescent="0.2"/>
  <cols>
    <col min="1" max="1" width="8" style="189" customWidth="1"/>
    <col min="2" max="2" width="36.85546875" style="189" customWidth="1"/>
    <col min="3" max="21" width="12.42578125" style="189" customWidth="1"/>
    <col min="22" max="22" width="8" style="189" customWidth="1"/>
    <col min="23" max="23" width="38.140625" style="189" customWidth="1"/>
    <col min="24" max="24" width="11.140625" style="189" customWidth="1"/>
    <col min="25" max="42" width="12.42578125" style="189" customWidth="1"/>
    <col min="43" max="1037" width="15.140625" style="189" customWidth="1"/>
  </cols>
  <sheetData>
    <row r="1" spans="1:42" ht="26.25" customHeight="1" x14ac:dyDescent="0.2">
      <c r="A1" s="1479" t="s">
        <v>832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79"/>
      <c r="M1" s="1479"/>
      <c r="N1" s="1479"/>
      <c r="O1" s="1479"/>
      <c r="P1" s="1479"/>
      <c r="Q1" s="1479"/>
      <c r="R1" s="1479"/>
      <c r="S1" s="1479"/>
      <c r="T1" s="1479"/>
      <c r="U1" s="1479"/>
      <c r="V1" s="1479"/>
      <c r="W1" s="1479"/>
      <c r="X1" s="1479"/>
      <c r="Y1" s="1479"/>
      <c r="Z1" s="1479"/>
      <c r="AA1" s="1479"/>
      <c r="AB1" s="1479"/>
      <c r="AC1" s="1479"/>
      <c r="AD1" s="1479"/>
      <c r="AE1" s="1479"/>
      <c r="AF1" s="1479"/>
      <c r="AG1" s="1479"/>
      <c r="AH1" s="1479"/>
      <c r="AI1" s="1479"/>
      <c r="AJ1" s="1479"/>
      <c r="AK1" s="1479"/>
      <c r="AL1" s="1479"/>
      <c r="AM1" s="1479"/>
      <c r="AN1" s="1479"/>
      <c r="AO1" s="1479"/>
      <c r="AP1" s="1479"/>
    </row>
    <row r="2" spans="1:42" ht="15.75" customHeight="1" thickBot="1" x14ac:dyDescent="0.25"/>
    <row r="3" spans="1:42" ht="12.75" thickBot="1" x14ac:dyDescent="0.25">
      <c r="A3" s="190" t="s">
        <v>310</v>
      </c>
      <c r="B3" s="1480" t="s">
        <v>311</v>
      </c>
      <c r="C3" s="191" t="s">
        <v>3</v>
      </c>
      <c r="D3" s="1478" t="s">
        <v>825</v>
      </c>
      <c r="E3" s="1486"/>
      <c r="F3" s="1478"/>
      <c r="G3" s="1486"/>
      <c r="H3" s="1488"/>
      <c r="I3" s="1485"/>
      <c r="J3" s="1478"/>
      <c r="K3" s="1485"/>
      <c r="L3" s="1478"/>
      <c r="M3" s="1486"/>
      <c r="N3" s="1478"/>
      <c r="O3" s="1485"/>
      <c r="P3" s="1478"/>
      <c r="Q3" s="1486"/>
      <c r="R3" s="1478"/>
      <c r="S3" s="1486"/>
      <c r="T3" s="1478"/>
      <c r="U3" s="1486"/>
      <c r="V3" s="192" t="s">
        <v>310</v>
      </c>
      <c r="W3" s="1487" t="s">
        <v>314</v>
      </c>
      <c r="X3" s="193" t="s">
        <v>3</v>
      </c>
      <c r="Y3" s="1478" t="str">
        <f t="shared" ref="Y3:AH3" si="0">D3</f>
        <v xml:space="preserve">REGION </v>
      </c>
      <c r="Z3" s="1477">
        <f t="shared" si="0"/>
        <v>0</v>
      </c>
      <c r="AA3" s="1478">
        <f t="shared" si="0"/>
        <v>0</v>
      </c>
      <c r="AB3" s="1477">
        <f t="shared" si="0"/>
        <v>0</v>
      </c>
      <c r="AC3" s="1478">
        <f t="shared" si="0"/>
        <v>0</v>
      </c>
      <c r="AD3" s="1477">
        <f t="shared" si="0"/>
        <v>0</v>
      </c>
      <c r="AE3" s="1478">
        <f t="shared" si="0"/>
        <v>0</v>
      </c>
      <c r="AF3" s="1477">
        <f t="shared" si="0"/>
        <v>0</v>
      </c>
      <c r="AG3" s="1478">
        <f t="shared" si="0"/>
        <v>0</v>
      </c>
      <c r="AH3" s="1477">
        <f t="shared" si="0"/>
        <v>0</v>
      </c>
      <c r="AI3" s="1478">
        <f t="shared" ref="AI3:AN3" si="1">N3</f>
        <v>0</v>
      </c>
      <c r="AJ3" s="1477">
        <f t="shared" si="1"/>
        <v>0</v>
      </c>
      <c r="AK3" s="1478">
        <f t="shared" si="1"/>
        <v>0</v>
      </c>
      <c r="AL3" s="1477">
        <f t="shared" si="1"/>
        <v>0</v>
      </c>
      <c r="AM3" s="1478">
        <f t="shared" si="1"/>
        <v>0</v>
      </c>
      <c r="AN3" s="1477">
        <f t="shared" si="1"/>
        <v>0</v>
      </c>
      <c r="AO3" s="1478">
        <f>T3</f>
        <v>0</v>
      </c>
      <c r="AP3" s="1477">
        <f>U3</f>
        <v>0</v>
      </c>
    </row>
    <row r="4" spans="1:42" ht="12.75" thickBot="1" x14ac:dyDescent="0.25">
      <c r="A4" s="194" t="s">
        <v>315</v>
      </c>
      <c r="B4" s="1480"/>
      <c r="C4" s="195" t="s">
        <v>826</v>
      </c>
      <c r="D4" s="1478"/>
      <c r="E4" s="1486"/>
      <c r="F4" s="1478"/>
      <c r="G4" s="1486"/>
      <c r="H4" s="1478"/>
      <c r="I4" s="1486"/>
      <c r="J4" s="1478"/>
      <c r="K4" s="1486"/>
      <c r="L4" s="1478"/>
      <c r="M4" s="1486"/>
      <c r="N4" s="1478"/>
      <c r="O4" s="1486"/>
      <c r="P4" s="1478"/>
      <c r="Q4" s="1486"/>
      <c r="R4" s="1478"/>
      <c r="S4" s="1486"/>
      <c r="T4" s="1478"/>
      <c r="U4" s="1486"/>
      <c r="V4" s="196" t="s">
        <v>315</v>
      </c>
      <c r="W4" s="1487"/>
      <c r="X4" s="197" t="s">
        <v>826</v>
      </c>
      <c r="Y4" s="1478"/>
      <c r="Z4" s="1477"/>
      <c r="AA4" s="1478"/>
      <c r="AB4" s="1477"/>
      <c r="AC4" s="1478"/>
      <c r="AD4" s="1477"/>
      <c r="AE4" s="1478"/>
      <c r="AF4" s="1477"/>
      <c r="AG4" s="1478"/>
      <c r="AH4" s="1477"/>
      <c r="AI4" s="1478"/>
      <c r="AJ4" s="1477"/>
      <c r="AK4" s="1478"/>
      <c r="AL4" s="1477"/>
      <c r="AM4" s="1478"/>
      <c r="AN4" s="1477"/>
      <c r="AO4" s="1478"/>
      <c r="AP4" s="1477"/>
    </row>
    <row r="5" spans="1:42" ht="15.75" customHeight="1" thickBot="1" x14ac:dyDescent="0.25">
      <c r="A5" s="198">
        <v>60</v>
      </c>
      <c r="B5" s="199" t="s">
        <v>115</v>
      </c>
      <c r="C5" s="200">
        <f t="shared" ref="C5:C36" si="2">SUM(D5:U5)</f>
        <v>38970</v>
      </c>
      <c r="D5" s="201">
        <f t="shared" ref="D5:U5" si="3">SUM(D6:D16)</f>
        <v>38970</v>
      </c>
      <c r="E5" s="202">
        <f t="shared" si="3"/>
        <v>0</v>
      </c>
      <c r="F5" s="203">
        <f t="shared" si="3"/>
        <v>0</v>
      </c>
      <c r="G5" s="202">
        <f t="shared" si="3"/>
        <v>0</v>
      </c>
      <c r="H5" s="203">
        <f t="shared" si="3"/>
        <v>0</v>
      </c>
      <c r="I5" s="202">
        <f t="shared" si="3"/>
        <v>0</v>
      </c>
      <c r="J5" s="203">
        <f t="shared" si="3"/>
        <v>0</v>
      </c>
      <c r="K5" s="202">
        <f t="shared" si="3"/>
        <v>0</v>
      </c>
      <c r="L5" s="203">
        <f t="shared" si="3"/>
        <v>0</v>
      </c>
      <c r="M5" s="202">
        <f t="shared" si="3"/>
        <v>0</v>
      </c>
      <c r="N5" s="203">
        <f t="shared" ref="N5:S5" si="4">SUM(N6:N16)</f>
        <v>0</v>
      </c>
      <c r="O5" s="204">
        <f t="shared" si="4"/>
        <v>0</v>
      </c>
      <c r="P5" s="203">
        <f t="shared" si="4"/>
        <v>0</v>
      </c>
      <c r="Q5" s="204">
        <f t="shared" si="4"/>
        <v>0</v>
      </c>
      <c r="R5" s="203">
        <f t="shared" si="4"/>
        <v>0</v>
      </c>
      <c r="S5" s="204">
        <f t="shared" si="4"/>
        <v>0</v>
      </c>
      <c r="T5" s="203">
        <f t="shared" si="3"/>
        <v>0</v>
      </c>
      <c r="U5" s="204">
        <f t="shared" si="3"/>
        <v>0</v>
      </c>
      <c r="V5" s="205">
        <v>70</v>
      </c>
      <c r="W5" s="206" t="s">
        <v>52</v>
      </c>
      <c r="X5" s="207">
        <f t="shared" ref="X5:X61" si="5">SUM(Y5:AP5)</f>
        <v>56840</v>
      </c>
      <c r="Y5" s="208">
        <f t="shared" ref="Y5" si="6">SUM(Y6:Y16)</f>
        <v>56840</v>
      </c>
      <c r="Z5" s="209">
        <f t="shared" ref="Z5:AP5" si="7">SUM(Z6:Z16)</f>
        <v>0</v>
      </c>
      <c r="AA5" s="208">
        <f t="shared" si="7"/>
        <v>0</v>
      </c>
      <c r="AB5" s="209">
        <f t="shared" si="7"/>
        <v>0</v>
      </c>
      <c r="AC5" s="208">
        <f t="shared" si="7"/>
        <v>0</v>
      </c>
      <c r="AD5" s="209">
        <f t="shared" si="7"/>
        <v>0</v>
      </c>
      <c r="AE5" s="208">
        <f t="shared" si="7"/>
        <v>0</v>
      </c>
      <c r="AF5" s="209">
        <f t="shared" si="7"/>
        <v>0</v>
      </c>
      <c r="AG5" s="208">
        <f t="shared" si="7"/>
        <v>0</v>
      </c>
      <c r="AH5" s="209">
        <f t="shared" si="7"/>
        <v>0</v>
      </c>
      <c r="AI5" s="208">
        <f t="shared" ref="AI5:AN5" si="8">SUM(AI6:AI16)</f>
        <v>0</v>
      </c>
      <c r="AJ5" s="210">
        <f t="shared" si="8"/>
        <v>0</v>
      </c>
      <c r="AK5" s="208">
        <f t="shared" si="8"/>
        <v>0</v>
      </c>
      <c r="AL5" s="210">
        <f t="shared" si="8"/>
        <v>0</v>
      </c>
      <c r="AM5" s="208">
        <f t="shared" si="8"/>
        <v>0</v>
      </c>
      <c r="AN5" s="210">
        <f t="shared" si="8"/>
        <v>0</v>
      </c>
      <c r="AO5" s="208">
        <f t="shared" si="7"/>
        <v>0</v>
      </c>
      <c r="AP5" s="210">
        <f t="shared" si="7"/>
        <v>0</v>
      </c>
    </row>
    <row r="6" spans="1:42" ht="12.75" thickBot="1" x14ac:dyDescent="0.25">
      <c r="A6" s="211">
        <v>6040000</v>
      </c>
      <c r="B6" s="1032" t="s">
        <v>116</v>
      </c>
      <c r="C6" s="212">
        <f t="shared" si="2"/>
        <v>2000</v>
      </c>
      <c r="D6" s="1033">
        <f>'Budget CR'!D10</f>
        <v>2000</v>
      </c>
      <c r="E6" s="1036"/>
      <c r="F6" s="1037"/>
      <c r="G6" s="1036"/>
      <c r="H6" s="1037"/>
      <c r="I6" s="1036"/>
      <c r="J6" s="1037"/>
      <c r="K6" s="1036"/>
      <c r="L6" s="1037"/>
      <c r="M6" s="1036"/>
      <c r="N6" s="1037"/>
      <c r="O6" s="1036"/>
      <c r="P6" s="1037"/>
      <c r="Q6" s="1036"/>
      <c r="R6" s="1037"/>
      <c r="S6" s="1036"/>
      <c r="T6" s="1037"/>
      <c r="U6" s="1036"/>
      <c r="V6" s="211">
        <v>7060000</v>
      </c>
      <c r="W6" s="1038" t="s">
        <v>53</v>
      </c>
      <c r="X6" s="213">
        <f t="shared" si="5"/>
        <v>51090</v>
      </c>
      <c r="Y6" s="1039">
        <f>'Budget CR'!I10</f>
        <v>51090</v>
      </c>
      <c r="Z6" s="1041"/>
      <c r="AA6" s="1037"/>
      <c r="AB6" s="1041"/>
      <c r="AC6" s="1037"/>
      <c r="AD6" s="1041"/>
      <c r="AE6" s="1037"/>
      <c r="AF6" s="1041"/>
      <c r="AG6" s="1037"/>
      <c r="AH6" s="1041"/>
      <c r="AI6" s="1037"/>
      <c r="AJ6" s="1042"/>
      <c r="AK6" s="1037"/>
      <c r="AL6" s="1042"/>
      <c r="AM6" s="1037"/>
      <c r="AN6" s="1042"/>
      <c r="AO6" s="1037"/>
      <c r="AP6" s="1042"/>
    </row>
    <row r="7" spans="1:42" ht="12.75" thickBot="1" x14ac:dyDescent="0.25">
      <c r="A7" s="214">
        <v>6040009</v>
      </c>
      <c r="B7" s="1043" t="s">
        <v>117</v>
      </c>
      <c r="C7" s="200">
        <f t="shared" si="2"/>
        <v>0</v>
      </c>
      <c r="D7" s="1033">
        <f>'Budget CR'!D11</f>
        <v>0</v>
      </c>
      <c r="E7" s="1046"/>
      <c r="F7" s="1047"/>
      <c r="G7" s="1046"/>
      <c r="H7" s="1047"/>
      <c r="I7" s="1046"/>
      <c r="J7" s="1047"/>
      <c r="K7" s="1046"/>
      <c r="L7" s="1047"/>
      <c r="M7" s="1046"/>
      <c r="N7" s="1047"/>
      <c r="O7" s="1046"/>
      <c r="P7" s="1047"/>
      <c r="Q7" s="1046"/>
      <c r="R7" s="1047"/>
      <c r="S7" s="1046"/>
      <c r="T7" s="1047"/>
      <c r="U7" s="1046"/>
      <c r="V7" s="214">
        <v>7060009</v>
      </c>
      <c r="W7" s="1048" t="s">
        <v>54</v>
      </c>
      <c r="X7" s="207">
        <f t="shared" si="5"/>
        <v>2800</v>
      </c>
      <c r="Y7" s="1039">
        <f>'Budget CR'!I11</f>
        <v>2800</v>
      </c>
      <c r="Z7" s="1050"/>
      <c r="AA7" s="1047"/>
      <c r="AB7" s="1050"/>
      <c r="AC7" s="1047"/>
      <c r="AD7" s="1050"/>
      <c r="AE7" s="1047"/>
      <c r="AF7" s="1050"/>
      <c r="AG7" s="1047"/>
      <c r="AH7" s="1050"/>
      <c r="AI7" s="1047"/>
      <c r="AJ7" s="1051"/>
      <c r="AK7" s="1047"/>
      <c r="AL7" s="1051"/>
      <c r="AM7" s="1047"/>
      <c r="AN7" s="1051"/>
      <c r="AO7" s="1047"/>
      <c r="AP7" s="1051"/>
    </row>
    <row r="8" spans="1:42" ht="12.75" thickBot="1" x14ac:dyDescent="0.25">
      <c r="A8" s="214">
        <v>6061000</v>
      </c>
      <c r="B8" s="1043" t="s">
        <v>118</v>
      </c>
      <c r="C8" s="200">
        <f t="shared" si="2"/>
        <v>500</v>
      </c>
      <c r="D8" s="1033">
        <f>'Budget CR'!D12</f>
        <v>500</v>
      </c>
      <c r="E8" s="1046"/>
      <c r="F8" s="1047"/>
      <c r="G8" s="1046"/>
      <c r="H8" s="1047"/>
      <c r="I8" s="1046"/>
      <c r="J8" s="1047"/>
      <c r="K8" s="1046"/>
      <c r="L8" s="1047"/>
      <c r="M8" s="1046"/>
      <c r="N8" s="1047"/>
      <c r="O8" s="1046"/>
      <c r="P8" s="1047"/>
      <c r="Q8" s="1046"/>
      <c r="R8" s="1047"/>
      <c r="S8" s="1046"/>
      <c r="T8" s="1047"/>
      <c r="U8" s="1046"/>
      <c r="V8" s="214">
        <v>7061000</v>
      </c>
      <c r="W8" s="1048" t="s">
        <v>55</v>
      </c>
      <c r="X8" s="207">
        <f t="shared" si="5"/>
        <v>0</v>
      </c>
      <c r="Y8" s="1039">
        <f>'Budget CR'!I12</f>
        <v>0</v>
      </c>
      <c r="Z8" s="1050"/>
      <c r="AA8" s="1047"/>
      <c r="AB8" s="1050"/>
      <c r="AC8" s="1047"/>
      <c r="AD8" s="1050"/>
      <c r="AE8" s="1047"/>
      <c r="AF8" s="1050"/>
      <c r="AG8" s="1047"/>
      <c r="AH8" s="1050"/>
      <c r="AI8" s="1047"/>
      <c r="AJ8" s="1051"/>
      <c r="AK8" s="1047"/>
      <c r="AL8" s="1051"/>
      <c r="AM8" s="1047"/>
      <c r="AN8" s="1051"/>
      <c r="AO8" s="1047"/>
      <c r="AP8" s="1051"/>
    </row>
    <row r="9" spans="1:42" ht="12.75" thickBot="1" x14ac:dyDescent="0.25">
      <c r="A9" s="214">
        <v>6062000</v>
      </c>
      <c r="B9" s="1043" t="s">
        <v>106</v>
      </c>
      <c r="C9" s="200">
        <f t="shared" si="2"/>
        <v>26250</v>
      </c>
      <c r="D9" s="1033">
        <f>'Budget CR'!D13</f>
        <v>26250</v>
      </c>
      <c r="E9" s="1046"/>
      <c r="F9" s="1047"/>
      <c r="G9" s="1046"/>
      <c r="H9" s="1047"/>
      <c r="I9" s="1046"/>
      <c r="J9" s="1047"/>
      <c r="K9" s="1046"/>
      <c r="L9" s="1047"/>
      <c r="M9" s="1046"/>
      <c r="N9" s="1047"/>
      <c r="O9" s="1046"/>
      <c r="P9" s="1047"/>
      <c r="Q9" s="1046"/>
      <c r="R9" s="1047"/>
      <c r="S9" s="1046"/>
      <c r="T9" s="1047"/>
      <c r="U9" s="1046"/>
      <c r="V9" s="214">
        <v>7070000</v>
      </c>
      <c r="W9" s="1048" t="s">
        <v>56</v>
      </c>
      <c r="X9" s="207">
        <f t="shared" si="5"/>
        <v>0</v>
      </c>
      <c r="Y9" s="1039">
        <f>'Budget CR'!I13</f>
        <v>0</v>
      </c>
      <c r="Z9" s="1050"/>
      <c r="AA9" s="1047"/>
      <c r="AB9" s="1050"/>
      <c r="AC9" s="1047"/>
      <c r="AD9" s="1050"/>
      <c r="AE9" s="1047"/>
      <c r="AF9" s="1050"/>
      <c r="AG9" s="1047"/>
      <c r="AH9" s="1050"/>
      <c r="AI9" s="1047"/>
      <c r="AJ9" s="1051"/>
      <c r="AK9" s="1047"/>
      <c r="AL9" s="1051"/>
      <c r="AM9" s="1047"/>
      <c r="AN9" s="1051"/>
      <c r="AO9" s="1047"/>
      <c r="AP9" s="1051"/>
    </row>
    <row r="10" spans="1:42" ht="13.5" thickBot="1" x14ac:dyDescent="0.25">
      <c r="A10" s="214">
        <v>6063000</v>
      </c>
      <c r="B10" s="1043" t="s">
        <v>107</v>
      </c>
      <c r="C10" s="200">
        <f t="shared" si="2"/>
        <v>5870</v>
      </c>
      <c r="D10" s="1033">
        <f>'Budget CR'!D14</f>
        <v>5870</v>
      </c>
      <c r="E10" s="1046"/>
      <c r="F10" s="1047"/>
      <c r="G10" s="1046"/>
      <c r="H10" s="1047"/>
      <c r="I10" s="1046"/>
      <c r="J10" s="1047"/>
      <c r="K10" s="1046"/>
      <c r="L10" s="1047"/>
      <c r="M10" s="1046"/>
      <c r="N10" s="1047"/>
      <c r="O10" s="1046"/>
      <c r="P10" s="1047"/>
      <c r="Q10" s="1046"/>
      <c r="R10" s="1047"/>
      <c r="S10" s="1046"/>
      <c r="T10" s="1047"/>
      <c r="U10" s="1046"/>
      <c r="V10" s="214">
        <v>7070009</v>
      </c>
      <c r="W10" s="1052" t="s">
        <v>57</v>
      </c>
      <c r="X10" s="207">
        <f t="shared" si="5"/>
        <v>0</v>
      </c>
      <c r="Y10" s="1039">
        <f>'Budget CR'!I14</f>
        <v>0</v>
      </c>
      <c r="Z10" s="1050"/>
      <c r="AA10" s="1047"/>
      <c r="AB10" s="1050"/>
      <c r="AC10" s="1047"/>
      <c r="AD10" s="1050"/>
      <c r="AE10" s="1047"/>
      <c r="AF10" s="1050"/>
      <c r="AG10" s="1047"/>
      <c r="AH10" s="1050"/>
      <c r="AI10" s="1047"/>
      <c r="AJ10" s="1051"/>
      <c r="AK10" s="1047"/>
      <c r="AL10" s="1051"/>
      <c r="AM10" s="1047"/>
      <c r="AN10" s="1051"/>
      <c r="AO10" s="1047"/>
      <c r="AP10" s="1051"/>
    </row>
    <row r="11" spans="1:42" ht="12.75" thickBot="1" x14ac:dyDescent="0.25">
      <c r="A11" s="214">
        <v>6064000</v>
      </c>
      <c r="B11" s="1043" t="s">
        <v>119</v>
      </c>
      <c r="C11" s="200">
        <f t="shared" si="2"/>
        <v>0</v>
      </c>
      <c r="D11" s="1033">
        <f>'Budget CR'!D15</f>
        <v>0</v>
      </c>
      <c r="E11" s="1046"/>
      <c r="F11" s="1047"/>
      <c r="G11" s="1046"/>
      <c r="H11" s="1047"/>
      <c r="I11" s="1046"/>
      <c r="J11" s="1047"/>
      <c r="K11" s="1046"/>
      <c r="L11" s="1047"/>
      <c r="M11" s="1046"/>
      <c r="N11" s="1047"/>
      <c r="O11" s="1046"/>
      <c r="P11" s="1047"/>
      <c r="Q11" s="1046"/>
      <c r="R11" s="1047"/>
      <c r="S11" s="1046"/>
      <c r="T11" s="1047"/>
      <c r="U11" s="1046"/>
      <c r="V11" s="214">
        <v>7083000</v>
      </c>
      <c r="W11" s="1048" t="s">
        <v>58</v>
      </c>
      <c r="X11" s="207">
        <f t="shared" si="5"/>
        <v>0</v>
      </c>
      <c r="Y11" s="1039">
        <f>'Budget CR'!I15</f>
        <v>0</v>
      </c>
      <c r="Z11" s="1050"/>
      <c r="AA11" s="1047"/>
      <c r="AB11" s="1050"/>
      <c r="AC11" s="1047"/>
      <c r="AD11" s="1050"/>
      <c r="AE11" s="1047"/>
      <c r="AF11" s="1050"/>
      <c r="AG11" s="1047"/>
      <c r="AH11" s="1050"/>
      <c r="AI11" s="1047"/>
      <c r="AJ11" s="1051"/>
      <c r="AK11" s="1047"/>
      <c r="AL11" s="1051"/>
      <c r="AM11" s="1047"/>
      <c r="AN11" s="1051"/>
      <c r="AO11" s="1047"/>
      <c r="AP11" s="1051"/>
    </row>
    <row r="12" spans="1:42" ht="12.75" thickBot="1" x14ac:dyDescent="0.25">
      <c r="A12" s="214">
        <v>6065000</v>
      </c>
      <c r="B12" s="1043" t="s">
        <v>108</v>
      </c>
      <c r="C12" s="200">
        <f t="shared" si="2"/>
        <v>1125</v>
      </c>
      <c r="D12" s="1033">
        <f>'Budget CR'!D16</f>
        <v>1125</v>
      </c>
      <c r="E12" s="1046"/>
      <c r="F12" s="1047"/>
      <c r="G12" s="1046"/>
      <c r="H12" s="1047"/>
      <c r="I12" s="1046"/>
      <c r="J12" s="1047"/>
      <c r="K12" s="1046"/>
      <c r="L12" s="1047"/>
      <c r="M12" s="1046"/>
      <c r="N12" s="1047"/>
      <c r="O12" s="1046"/>
      <c r="P12" s="1047"/>
      <c r="Q12" s="1046"/>
      <c r="R12" s="1047"/>
      <c r="S12" s="1046"/>
      <c r="T12" s="1047"/>
      <c r="U12" s="1046"/>
      <c r="V12" s="214">
        <v>7083009</v>
      </c>
      <c r="W12" s="1048" t="s">
        <v>59</v>
      </c>
      <c r="X12" s="207">
        <f t="shared" si="5"/>
        <v>0</v>
      </c>
      <c r="Y12" s="1039">
        <f>'Budget CR'!I16</f>
        <v>0</v>
      </c>
      <c r="Z12" s="1050"/>
      <c r="AA12" s="1047"/>
      <c r="AB12" s="1050"/>
      <c r="AC12" s="1047"/>
      <c r="AD12" s="1050"/>
      <c r="AE12" s="1047"/>
      <c r="AF12" s="1050"/>
      <c r="AG12" s="1047"/>
      <c r="AH12" s="1050"/>
      <c r="AI12" s="1047"/>
      <c r="AJ12" s="1051"/>
      <c r="AK12" s="1047"/>
      <c r="AL12" s="1051"/>
      <c r="AM12" s="1047"/>
      <c r="AN12" s="1051"/>
      <c r="AO12" s="1047"/>
      <c r="AP12" s="1051"/>
    </row>
    <row r="13" spans="1:42" ht="12.75" thickBot="1" x14ac:dyDescent="0.25">
      <c r="A13" s="214">
        <v>6066000</v>
      </c>
      <c r="B13" s="1043" t="s">
        <v>110</v>
      </c>
      <c r="C13" s="200">
        <f t="shared" si="2"/>
        <v>100</v>
      </c>
      <c r="D13" s="1033">
        <f>'Budget CR'!D17</f>
        <v>100</v>
      </c>
      <c r="E13" s="1046"/>
      <c r="F13" s="1047"/>
      <c r="G13" s="1046"/>
      <c r="H13" s="1047"/>
      <c r="I13" s="1046"/>
      <c r="J13" s="1047"/>
      <c r="K13" s="1046"/>
      <c r="L13" s="1047"/>
      <c r="M13" s="1046"/>
      <c r="N13" s="1047"/>
      <c r="O13" s="1046"/>
      <c r="P13" s="1047"/>
      <c r="Q13" s="1046"/>
      <c r="R13" s="1047"/>
      <c r="S13" s="1046"/>
      <c r="T13" s="1047"/>
      <c r="U13" s="1046"/>
      <c r="V13" s="214">
        <v>7080000</v>
      </c>
      <c r="W13" s="1048" t="s">
        <v>60</v>
      </c>
      <c r="X13" s="207">
        <f t="shared" si="5"/>
        <v>0</v>
      </c>
      <c r="Y13" s="1039">
        <f>'Budget CR'!I17</f>
        <v>0</v>
      </c>
      <c r="Z13" s="1050"/>
      <c r="AA13" s="1047"/>
      <c r="AB13" s="1050"/>
      <c r="AC13" s="1047"/>
      <c r="AD13" s="1050"/>
      <c r="AE13" s="1047"/>
      <c r="AF13" s="1050"/>
      <c r="AG13" s="1047"/>
      <c r="AH13" s="1050"/>
      <c r="AI13" s="1047"/>
      <c r="AJ13" s="1051"/>
      <c r="AK13" s="1047"/>
      <c r="AL13" s="1051"/>
      <c r="AM13" s="1047"/>
      <c r="AN13" s="1051"/>
      <c r="AO13" s="1047"/>
      <c r="AP13" s="1051"/>
    </row>
    <row r="14" spans="1:42" ht="12.75" thickBot="1" x14ac:dyDescent="0.25">
      <c r="A14" s="214">
        <v>6068000</v>
      </c>
      <c r="B14" s="1043" t="s">
        <v>120</v>
      </c>
      <c r="C14" s="200">
        <f t="shared" si="2"/>
        <v>3125</v>
      </c>
      <c r="D14" s="1033">
        <f>'Budget CR'!D18</f>
        <v>3125</v>
      </c>
      <c r="E14" s="1046"/>
      <c r="F14" s="1047"/>
      <c r="G14" s="1046"/>
      <c r="H14" s="1047"/>
      <c r="I14" s="1046"/>
      <c r="J14" s="1047"/>
      <c r="K14" s="1046"/>
      <c r="L14" s="1047"/>
      <c r="M14" s="1046"/>
      <c r="N14" s="1047"/>
      <c r="O14" s="1046"/>
      <c r="P14" s="1047"/>
      <c r="Q14" s="1046"/>
      <c r="R14" s="1047"/>
      <c r="S14" s="1046"/>
      <c r="T14" s="1047"/>
      <c r="U14" s="1046"/>
      <c r="V14" s="214">
        <v>7080009</v>
      </c>
      <c r="W14" s="1048" t="s">
        <v>61</v>
      </c>
      <c r="X14" s="207">
        <f t="shared" si="5"/>
        <v>2950</v>
      </c>
      <c r="Y14" s="1039">
        <f>'Budget CR'!I18</f>
        <v>2950</v>
      </c>
      <c r="Z14" s="1050"/>
      <c r="AA14" s="1047"/>
      <c r="AB14" s="1050"/>
      <c r="AC14" s="1047"/>
      <c r="AD14" s="1050"/>
      <c r="AE14" s="1047"/>
      <c r="AF14" s="1050"/>
      <c r="AG14" s="1047"/>
      <c r="AH14" s="1050"/>
      <c r="AI14" s="1047"/>
      <c r="AJ14" s="1051"/>
      <c r="AK14" s="1047"/>
      <c r="AL14" s="1051"/>
      <c r="AM14" s="1047"/>
      <c r="AN14" s="1051"/>
      <c r="AO14" s="1047"/>
      <c r="AP14" s="1051"/>
    </row>
    <row r="15" spans="1:42" ht="12.75" thickBot="1" x14ac:dyDescent="0.25">
      <c r="A15" s="214">
        <v>6070000</v>
      </c>
      <c r="B15" s="1043" t="s">
        <v>121</v>
      </c>
      <c r="C15" s="200">
        <f t="shared" si="2"/>
        <v>0</v>
      </c>
      <c r="D15" s="1033">
        <f>'Budget CR'!D19</f>
        <v>0</v>
      </c>
      <c r="E15" s="1046"/>
      <c r="F15" s="1047"/>
      <c r="G15" s="1046"/>
      <c r="H15" s="1047"/>
      <c r="I15" s="1046"/>
      <c r="J15" s="1047"/>
      <c r="K15" s="1046"/>
      <c r="L15" s="1047"/>
      <c r="M15" s="1046"/>
      <c r="N15" s="1047"/>
      <c r="O15" s="1046"/>
      <c r="P15" s="1047"/>
      <c r="Q15" s="1046"/>
      <c r="R15" s="1047"/>
      <c r="S15" s="1046"/>
      <c r="T15" s="1047"/>
      <c r="U15" s="1046"/>
      <c r="V15" s="214"/>
      <c r="W15" s="1048"/>
      <c r="X15" s="207">
        <f t="shared" si="5"/>
        <v>0</v>
      </c>
      <c r="Y15" s="1053"/>
      <c r="Z15" s="1050"/>
      <c r="AA15" s="1047"/>
      <c r="AB15" s="1050"/>
      <c r="AC15" s="1047"/>
      <c r="AD15" s="1050"/>
      <c r="AE15" s="1047"/>
      <c r="AF15" s="1050"/>
      <c r="AG15" s="1047"/>
      <c r="AH15" s="1050"/>
      <c r="AI15" s="1047"/>
      <c r="AJ15" s="1051"/>
      <c r="AK15" s="1047"/>
      <c r="AL15" s="1051"/>
      <c r="AM15" s="1047"/>
      <c r="AN15" s="1051"/>
      <c r="AO15" s="1047"/>
      <c r="AP15" s="1051"/>
    </row>
    <row r="16" spans="1:42" ht="15.75" customHeight="1" thickBot="1" x14ac:dyDescent="0.25">
      <c r="A16" s="1054">
        <v>6070009</v>
      </c>
      <c r="B16" s="1055" t="s">
        <v>122</v>
      </c>
      <c r="C16" s="200">
        <f t="shared" si="2"/>
        <v>0</v>
      </c>
      <c r="D16" s="1033">
        <f>'Budget CR'!D20</f>
        <v>0</v>
      </c>
      <c r="E16" s="1058"/>
      <c r="F16" s="1059"/>
      <c r="G16" s="1058"/>
      <c r="H16" s="1059"/>
      <c r="I16" s="1058"/>
      <c r="J16" s="1059"/>
      <c r="K16" s="1058"/>
      <c r="L16" s="1059"/>
      <c r="M16" s="1058"/>
      <c r="N16" s="1059"/>
      <c r="O16" s="1058"/>
      <c r="P16" s="1059"/>
      <c r="Q16" s="1058"/>
      <c r="R16" s="1059"/>
      <c r="S16" s="1058"/>
      <c r="T16" s="1059"/>
      <c r="U16" s="1058"/>
      <c r="V16" s="215"/>
      <c r="W16" s="1060"/>
      <c r="X16" s="216">
        <f t="shared" si="5"/>
        <v>0</v>
      </c>
      <c r="Y16" s="1061"/>
      <c r="Z16" s="1063"/>
      <c r="AA16" s="1059"/>
      <c r="AB16" s="1063"/>
      <c r="AC16" s="1059"/>
      <c r="AD16" s="1063"/>
      <c r="AE16" s="1059"/>
      <c r="AF16" s="1063"/>
      <c r="AG16" s="1059"/>
      <c r="AH16" s="1063"/>
      <c r="AI16" s="1059"/>
      <c r="AJ16" s="1064"/>
      <c r="AK16" s="1059"/>
      <c r="AL16" s="1064"/>
      <c r="AM16" s="1059"/>
      <c r="AN16" s="1064"/>
      <c r="AO16" s="1059"/>
      <c r="AP16" s="1064"/>
    </row>
    <row r="17" spans="1:42" ht="15.75" customHeight="1" thickBot="1" x14ac:dyDescent="0.25">
      <c r="A17" s="198">
        <v>61</v>
      </c>
      <c r="B17" s="199" t="s">
        <v>123</v>
      </c>
      <c r="C17" s="200">
        <f t="shared" si="2"/>
        <v>21008.81</v>
      </c>
      <c r="D17" s="203">
        <f t="shared" ref="D17" si="9">SUM(D18:D27)</f>
        <v>21008.81</v>
      </c>
      <c r="E17" s="202">
        <f t="shared" ref="E17:U17" si="10">SUM(E18:E27)</f>
        <v>0</v>
      </c>
      <c r="F17" s="203">
        <f t="shared" si="10"/>
        <v>0</v>
      </c>
      <c r="G17" s="202">
        <f t="shared" si="10"/>
        <v>0</v>
      </c>
      <c r="H17" s="203">
        <f t="shared" si="10"/>
        <v>0</v>
      </c>
      <c r="I17" s="202">
        <f t="shared" si="10"/>
        <v>0</v>
      </c>
      <c r="J17" s="203">
        <f t="shared" si="10"/>
        <v>0</v>
      </c>
      <c r="K17" s="202">
        <f t="shared" si="10"/>
        <v>0</v>
      </c>
      <c r="L17" s="203">
        <f t="shared" si="10"/>
        <v>0</v>
      </c>
      <c r="M17" s="202">
        <f t="shared" si="10"/>
        <v>0</v>
      </c>
      <c r="N17" s="203">
        <f t="shared" ref="N17:S17" si="11">SUM(N18:N27)</f>
        <v>0</v>
      </c>
      <c r="O17" s="202">
        <f t="shared" si="11"/>
        <v>0</v>
      </c>
      <c r="P17" s="203">
        <f t="shared" si="11"/>
        <v>0</v>
      </c>
      <c r="Q17" s="202">
        <f t="shared" si="11"/>
        <v>0</v>
      </c>
      <c r="R17" s="203">
        <f t="shared" si="11"/>
        <v>0</v>
      </c>
      <c r="S17" s="202">
        <f t="shared" si="11"/>
        <v>0</v>
      </c>
      <c r="T17" s="203">
        <f t="shared" si="10"/>
        <v>0</v>
      </c>
      <c r="U17" s="202">
        <f t="shared" si="10"/>
        <v>0</v>
      </c>
      <c r="V17" s="205">
        <v>74</v>
      </c>
      <c r="W17" s="206" t="s">
        <v>35</v>
      </c>
      <c r="X17" s="217">
        <f t="shared" si="5"/>
        <v>17040</v>
      </c>
      <c r="Y17" s="203">
        <f t="shared" ref="Y17" si="12">SUM(Y18:Y26)</f>
        <v>17040</v>
      </c>
      <c r="Z17" s="218">
        <f t="shared" ref="Z17:AP17" si="13">SUM(Z18:Z26)</f>
        <v>0</v>
      </c>
      <c r="AA17" s="203">
        <f t="shared" si="13"/>
        <v>0</v>
      </c>
      <c r="AB17" s="218">
        <f t="shared" si="13"/>
        <v>0</v>
      </c>
      <c r="AC17" s="203">
        <f t="shared" si="13"/>
        <v>0</v>
      </c>
      <c r="AD17" s="218">
        <f t="shared" si="13"/>
        <v>0</v>
      </c>
      <c r="AE17" s="203">
        <f t="shared" si="13"/>
        <v>0</v>
      </c>
      <c r="AF17" s="218">
        <f t="shared" si="13"/>
        <v>0</v>
      </c>
      <c r="AG17" s="203">
        <f t="shared" si="13"/>
        <v>0</v>
      </c>
      <c r="AH17" s="218">
        <f t="shared" si="13"/>
        <v>0</v>
      </c>
      <c r="AI17" s="203">
        <f t="shared" ref="AI17:AN17" si="14">SUM(AI18:AI26)</f>
        <v>0</v>
      </c>
      <c r="AJ17" s="219">
        <f t="shared" si="14"/>
        <v>0</v>
      </c>
      <c r="AK17" s="203">
        <f t="shared" si="14"/>
        <v>0</v>
      </c>
      <c r="AL17" s="219">
        <f t="shared" si="14"/>
        <v>0</v>
      </c>
      <c r="AM17" s="203">
        <f t="shared" si="14"/>
        <v>0</v>
      </c>
      <c r="AN17" s="219">
        <f t="shared" si="14"/>
        <v>0</v>
      </c>
      <c r="AO17" s="203">
        <f t="shared" si="13"/>
        <v>0</v>
      </c>
      <c r="AP17" s="219">
        <f t="shared" si="13"/>
        <v>0</v>
      </c>
    </row>
    <row r="18" spans="1:42" ht="12.75" thickBot="1" x14ac:dyDescent="0.25">
      <c r="A18" s="220">
        <v>6132000</v>
      </c>
      <c r="B18" s="221" t="s">
        <v>124</v>
      </c>
      <c r="C18" s="200">
        <f t="shared" si="2"/>
        <v>8480</v>
      </c>
      <c r="D18" s="1033">
        <f>'Budget CR'!D22</f>
        <v>8480</v>
      </c>
      <c r="E18" s="1036"/>
      <c r="F18" s="1037"/>
      <c r="G18" s="1036"/>
      <c r="H18" s="1037"/>
      <c r="I18" s="1036"/>
      <c r="J18" s="1037"/>
      <c r="K18" s="1036"/>
      <c r="L18" s="1037"/>
      <c r="M18" s="1036"/>
      <c r="N18" s="1037"/>
      <c r="O18" s="1036"/>
      <c r="P18" s="1037"/>
      <c r="Q18" s="1036"/>
      <c r="R18" s="1037"/>
      <c r="S18" s="1036"/>
      <c r="T18" s="1037"/>
      <c r="U18" s="1036"/>
      <c r="V18" s="1065">
        <v>7410000</v>
      </c>
      <c r="W18" s="1038" t="s">
        <v>62</v>
      </c>
      <c r="X18" s="222">
        <f t="shared" si="5"/>
        <v>6600</v>
      </c>
      <c r="Y18" s="1066">
        <f>'Budget CR'!I22</f>
        <v>6600</v>
      </c>
      <c r="Z18" s="1041"/>
      <c r="AA18" s="1037"/>
      <c r="AB18" s="1041"/>
      <c r="AC18" s="1037"/>
      <c r="AD18" s="1041"/>
      <c r="AE18" s="1037"/>
      <c r="AF18" s="1041"/>
      <c r="AG18" s="1037"/>
      <c r="AH18" s="1041"/>
      <c r="AI18" s="1037"/>
      <c r="AJ18" s="1042"/>
      <c r="AK18" s="1037"/>
      <c r="AL18" s="1042"/>
      <c r="AM18" s="1037"/>
      <c r="AN18" s="1042"/>
      <c r="AO18" s="1037"/>
      <c r="AP18" s="1042"/>
    </row>
    <row r="19" spans="1:42" ht="12.75" thickBot="1" x14ac:dyDescent="0.25">
      <c r="A19" s="214">
        <v>6132009</v>
      </c>
      <c r="B19" s="1043" t="s">
        <v>109</v>
      </c>
      <c r="C19" s="200">
        <f t="shared" si="2"/>
        <v>9000</v>
      </c>
      <c r="D19" s="1033">
        <f>'Budget CR'!D23</f>
        <v>9000</v>
      </c>
      <c r="E19" s="1046"/>
      <c r="F19" s="1047"/>
      <c r="G19" s="1046"/>
      <c r="H19" s="1047"/>
      <c r="I19" s="1046"/>
      <c r="J19" s="1047"/>
      <c r="K19" s="1046"/>
      <c r="L19" s="1047"/>
      <c r="M19" s="1046"/>
      <c r="N19" s="1047"/>
      <c r="O19" s="1046"/>
      <c r="P19" s="1047"/>
      <c r="Q19" s="1046"/>
      <c r="R19" s="1047"/>
      <c r="S19" s="1046"/>
      <c r="T19" s="1047"/>
      <c r="U19" s="1046"/>
      <c r="V19" s="1067">
        <v>7411000</v>
      </c>
      <c r="W19" s="1048" t="s">
        <v>63</v>
      </c>
      <c r="X19" s="223">
        <f t="shared" si="5"/>
        <v>6000</v>
      </c>
      <c r="Y19" s="1066">
        <f>'Budget CR'!I23</f>
        <v>6000</v>
      </c>
      <c r="Z19" s="1050"/>
      <c r="AA19" s="1047"/>
      <c r="AB19" s="1050"/>
      <c r="AC19" s="1047"/>
      <c r="AD19" s="1050"/>
      <c r="AE19" s="1047"/>
      <c r="AF19" s="1050"/>
      <c r="AG19" s="1047"/>
      <c r="AH19" s="1050"/>
      <c r="AI19" s="1047"/>
      <c r="AJ19" s="1051"/>
      <c r="AK19" s="1047"/>
      <c r="AL19" s="1051"/>
      <c r="AM19" s="1047"/>
      <c r="AN19" s="1051"/>
      <c r="AO19" s="1047"/>
      <c r="AP19" s="1051"/>
    </row>
    <row r="20" spans="1:42" ht="12.75" thickBot="1" x14ac:dyDescent="0.25">
      <c r="A20" s="214">
        <v>6135000</v>
      </c>
      <c r="B20" s="1043" t="s">
        <v>126</v>
      </c>
      <c r="C20" s="200">
        <f t="shared" si="2"/>
        <v>1080</v>
      </c>
      <c r="D20" s="1033">
        <f>'Budget CR'!D24</f>
        <v>1080</v>
      </c>
      <c r="E20" s="1046"/>
      <c r="F20" s="1047"/>
      <c r="G20" s="1046"/>
      <c r="H20" s="1047"/>
      <c r="I20" s="1046"/>
      <c r="J20" s="1047"/>
      <c r="K20" s="1046"/>
      <c r="L20" s="1047"/>
      <c r="M20" s="1046"/>
      <c r="N20" s="1047"/>
      <c r="O20" s="1046"/>
      <c r="P20" s="1047"/>
      <c r="Q20" s="1046"/>
      <c r="R20" s="1047"/>
      <c r="S20" s="1046"/>
      <c r="T20" s="1047"/>
      <c r="U20" s="1046"/>
      <c r="V20" s="1067">
        <v>7412000</v>
      </c>
      <c r="W20" s="1048" t="s">
        <v>64</v>
      </c>
      <c r="X20" s="223">
        <f t="shared" si="5"/>
        <v>0</v>
      </c>
      <c r="Y20" s="1066">
        <f>'Budget CR'!I24</f>
        <v>0</v>
      </c>
      <c r="Z20" s="1050"/>
      <c r="AA20" s="1047"/>
      <c r="AB20" s="1050"/>
      <c r="AC20" s="1047"/>
      <c r="AD20" s="1050"/>
      <c r="AE20" s="1047"/>
      <c r="AF20" s="1050"/>
      <c r="AG20" s="1047"/>
      <c r="AH20" s="1050"/>
      <c r="AI20" s="1047"/>
      <c r="AJ20" s="1051"/>
      <c r="AK20" s="1047"/>
      <c r="AL20" s="1051"/>
      <c r="AM20" s="1047"/>
      <c r="AN20" s="1051"/>
      <c r="AO20" s="1047"/>
      <c r="AP20" s="1051"/>
    </row>
    <row r="21" spans="1:42" ht="12.75" thickBot="1" x14ac:dyDescent="0.25">
      <c r="A21" s="214">
        <v>6135009</v>
      </c>
      <c r="B21" s="1043" t="s">
        <v>127</v>
      </c>
      <c r="C21" s="200">
        <f t="shared" si="2"/>
        <v>0</v>
      </c>
      <c r="D21" s="1033">
        <f>'Budget CR'!D25</f>
        <v>0</v>
      </c>
      <c r="E21" s="1046"/>
      <c r="F21" s="1047"/>
      <c r="G21" s="1046"/>
      <c r="H21" s="1047"/>
      <c r="I21" s="1046"/>
      <c r="J21" s="1047"/>
      <c r="K21" s="1046"/>
      <c r="L21" s="1047"/>
      <c r="M21" s="1046"/>
      <c r="N21" s="1047"/>
      <c r="O21" s="1046"/>
      <c r="P21" s="1047"/>
      <c r="Q21" s="1046"/>
      <c r="R21" s="1047"/>
      <c r="S21" s="1046"/>
      <c r="T21" s="1047"/>
      <c r="U21" s="1046"/>
      <c r="V21" s="1067">
        <v>7413000</v>
      </c>
      <c r="W21" s="1048" t="s">
        <v>65</v>
      </c>
      <c r="X21" s="223">
        <f t="shared" si="5"/>
        <v>4440</v>
      </c>
      <c r="Y21" s="1066">
        <f>'Budget CR'!I25</f>
        <v>4440</v>
      </c>
      <c r="Z21" s="1050"/>
      <c r="AA21" s="1047"/>
      <c r="AB21" s="1050"/>
      <c r="AC21" s="1047"/>
      <c r="AD21" s="1050"/>
      <c r="AE21" s="1047"/>
      <c r="AF21" s="1050"/>
      <c r="AG21" s="1047"/>
      <c r="AH21" s="1050"/>
      <c r="AI21" s="1047"/>
      <c r="AJ21" s="1051"/>
      <c r="AK21" s="1047"/>
      <c r="AL21" s="1051"/>
      <c r="AM21" s="1047"/>
      <c r="AN21" s="1051"/>
      <c r="AO21" s="1047"/>
      <c r="AP21" s="1051"/>
    </row>
    <row r="22" spans="1:42" ht="12.75" thickBot="1" x14ac:dyDescent="0.25">
      <c r="A22" s="214">
        <v>6140000</v>
      </c>
      <c r="B22" s="1043" t="s">
        <v>128</v>
      </c>
      <c r="C22" s="200">
        <f t="shared" si="2"/>
        <v>0</v>
      </c>
      <c r="D22" s="1033">
        <f>'Budget CR'!D26</f>
        <v>0</v>
      </c>
      <c r="E22" s="1046"/>
      <c r="F22" s="1047"/>
      <c r="G22" s="1046"/>
      <c r="H22" s="1047"/>
      <c r="I22" s="1046"/>
      <c r="J22" s="1047"/>
      <c r="K22" s="1046"/>
      <c r="L22" s="1047"/>
      <c r="M22" s="1046"/>
      <c r="N22" s="1047"/>
      <c r="O22" s="1046"/>
      <c r="P22" s="1047"/>
      <c r="Q22" s="1046"/>
      <c r="R22" s="1047"/>
      <c r="S22" s="1046"/>
      <c r="T22" s="1047"/>
      <c r="U22" s="1046"/>
      <c r="V22" s="1067">
        <v>7414000</v>
      </c>
      <c r="W22" s="1048" t="s">
        <v>66</v>
      </c>
      <c r="X22" s="223">
        <f t="shared" si="5"/>
        <v>0</v>
      </c>
      <c r="Y22" s="1066">
        <f>'Budget CR'!I26</f>
        <v>0</v>
      </c>
      <c r="Z22" s="1050"/>
      <c r="AA22" s="1047"/>
      <c r="AB22" s="1050"/>
      <c r="AC22" s="1047"/>
      <c r="AD22" s="1050"/>
      <c r="AE22" s="1047"/>
      <c r="AF22" s="1050"/>
      <c r="AG22" s="1047"/>
      <c r="AH22" s="1050"/>
      <c r="AI22" s="1047"/>
      <c r="AJ22" s="1051"/>
      <c r="AK22" s="1047"/>
      <c r="AL22" s="1051"/>
      <c r="AM22" s="1047"/>
      <c r="AN22" s="1051"/>
      <c r="AO22" s="1047"/>
      <c r="AP22" s="1051"/>
    </row>
    <row r="23" spans="1:42" ht="12.75" thickBot="1" x14ac:dyDescent="0.25">
      <c r="A23" s="214">
        <v>6150000</v>
      </c>
      <c r="B23" s="1043" t="s">
        <v>129</v>
      </c>
      <c r="C23" s="200">
        <f t="shared" si="2"/>
        <v>500</v>
      </c>
      <c r="D23" s="1033">
        <f>'Budget CR'!D27</f>
        <v>500</v>
      </c>
      <c r="E23" s="1046"/>
      <c r="F23" s="1047"/>
      <c r="G23" s="1046"/>
      <c r="H23" s="1047"/>
      <c r="I23" s="1046"/>
      <c r="J23" s="1047"/>
      <c r="K23" s="1046"/>
      <c r="L23" s="1047"/>
      <c r="M23" s="1046"/>
      <c r="N23" s="1047"/>
      <c r="O23" s="1046"/>
      <c r="P23" s="1047"/>
      <c r="Q23" s="1046"/>
      <c r="R23" s="1047"/>
      <c r="S23" s="1046"/>
      <c r="T23" s="1047"/>
      <c r="U23" s="1046"/>
      <c r="V23" s="1067">
        <v>7414009</v>
      </c>
      <c r="W23" s="1048" t="s">
        <v>67</v>
      </c>
      <c r="X23" s="223">
        <f t="shared" si="5"/>
        <v>0</v>
      </c>
      <c r="Y23" s="1066">
        <f>'Budget CR'!I27</f>
        <v>0</v>
      </c>
      <c r="Z23" s="1050"/>
      <c r="AA23" s="1047"/>
      <c r="AB23" s="1050"/>
      <c r="AC23" s="1047"/>
      <c r="AD23" s="1050"/>
      <c r="AE23" s="1047"/>
      <c r="AF23" s="1050"/>
      <c r="AG23" s="1047"/>
      <c r="AH23" s="1050"/>
      <c r="AI23" s="1047"/>
      <c r="AJ23" s="1051"/>
      <c r="AK23" s="1047"/>
      <c r="AL23" s="1051"/>
      <c r="AM23" s="1047"/>
      <c r="AN23" s="1051"/>
      <c r="AO23" s="1047"/>
      <c r="AP23" s="1051"/>
    </row>
    <row r="24" spans="1:42" ht="12.75" thickBot="1" x14ac:dyDescent="0.25">
      <c r="A24" s="214">
        <v>6160000</v>
      </c>
      <c r="B24" s="1043" t="s">
        <v>130</v>
      </c>
      <c r="C24" s="200">
        <f t="shared" si="2"/>
        <v>1948.81</v>
      </c>
      <c r="D24" s="1033">
        <f>'Budget CR'!D28</f>
        <v>1948.81</v>
      </c>
      <c r="E24" s="1046"/>
      <c r="F24" s="1047"/>
      <c r="G24" s="1046"/>
      <c r="H24" s="1047"/>
      <c r="I24" s="1046"/>
      <c r="J24" s="1047"/>
      <c r="K24" s="1046"/>
      <c r="L24" s="1047"/>
      <c r="M24" s="1046"/>
      <c r="N24" s="1047"/>
      <c r="O24" s="1046"/>
      <c r="P24" s="1047"/>
      <c r="Q24" s="1046"/>
      <c r="R24" s="1047"/>
      <c r="S24" s="1046"/>
      <c r="T24" s="1047"/>
      <c r="U24" s="1046"/>
      <c r="V24" s="1067">
        <v>7415000</v>
      </c>
      <c r="W24" s="1048" t="s">
        <v>68</v>
      </c>
      <c r="X24" s="223">
        <f t="shared" si="5"/>
        <v>0</v>
      </c>
      <c r="Y24" s="1066">
        <f>'Budget CR'!I28</f>
        <v>0</v>
      </c>
      <c r="Z24" s="1050"/>
      <c r="AA24" s="1047"/>
      <c r="AB24" s="1050"/>
      <c r="AC24" s="1047"/>
      <c r="AD24" s="1050"/>
      <c r="AE24" s="1047"/>
      <c r="AF24" s="1050"/>
      <c r="AG24" s="1047"/>
      <c r="AH24" s="1050"/>
      <c r="AI24" s="1047"/>
      <c r="AJ24" s="1051"/>
      <c r="AK24" s="1047"/>
      <c r="AL24" s="1051"/>
      <c r="AM24" s="1047"/>
      <c r="AN24" s="1051"/>
      <c r="AO24" s="1047"/>
      <c r="AP24" s="1051"/>
    </row>
    <row r="25" spans="1:42" ht="15.75" customHeight="1" thickBot="1" x14ac:dyDescent="0.25">
      <c r="A25" s="214">
        <v>6180000</v>
      </c>
      <c r="B25" s="1043" t="s">
        <v>131</v>
      </c>
      <c r="C25" s="200">
        <f t="shared" si="2"/>
        <v>0</v>
      </c>
      <c r="D25" s="1033">
        <f>'Budget CR'!D29</f>
        <v>0</v>
      </c>
      <c r="E25" s="1046"/>
      <c r="F25" s="1047"/>
      <c r="G25" s="1046"/>
      <c r="H25" s="1047"/>
      <c r="I25" s="1046"/>
      <c r="J25" s="1047"/>
      <c r="K25" s="1046"/>
      <c r="L25" s="1047"/>
      <c r="M25" s="1046"/>
      <c r="N25" s="1047"/>
      <c r="O25" s="1046"/>
      <c r="P25" s="1047"/>
      <c r="Q25" s="1046"/>
      <c r="R25" s="1047"/>
      <c r="S25" s="1046"/>
      <c r="T25" s="1047"/>
      <c r="U25" s="1046"/>
      <c r="V25" s="1067">
        <v>7416000</v>
      </c>
      <c r="W25" s="1048" t="s">
        <v>69</v>
      </c>
      <c r="X25" s="223">
        <f t="shared" si="5"/>
        <v>0</v>
      </c>
      <c r="Y25" s="1066">
        <f>'Budget CR'!I29</f>
        <v>0</v>
      </c>
      <c r="Z25" s="1050"/>
      <c r="AA25" s="1047"/>
      <c r="AB25" s="1050"/>
      <c r="AC25" s="1047"/>
      <c r="AD25" s="1050"/>
      <c r="AE25" s="1047"/>
      <c r="AF25" s="1050"/>
      <c r="AG25" s="1047"/>
      <c r="AH25" s="1050"/>
      <c r="AI25" s="1047"/>
      <c r="AJ25" s="1051"/>
      <c r="AK25" s="1047"/>
      <c r="AL25" s="1051"/>
      <c r="AM25" s="1047"/>
      <c r="AN25" s="1051"/>
      <c r="AO25" s="1047"/>
      <c r="AP25" s="1051"/>
    </row>
    <row r="26" spans="1:42" ht="15.75" customHeight="1" thickBot="1" x14ac:dyDescent="0.25">
      <c r="A26" s="214">
        <v>6180009</v>
      </c>
      <c r="B26" s="1043" t="s">
        <v>132</v>
      </c>
      <c r="C26" s="200">
        <f t="shared" si="2"/>
        <v>0</v>
      </c>
      <c r="D26" s="1033">
        <f>'Budget CR'!D30</f>
        <v>0</v>
      </c>
      <c r="E26" s="1070"/>
      <c r="F26" s="1071"/>
      <c r="G26" s="1070"/>
      <c r="H26" s="1071"/>
      <c r="I26" s="1070"/>
      <c r="J26" s="1071"/>
      <c r="K26" s="1070"/>
      <c r="L26" s="1071"/>
      <c r="M26" s="1070"/>
      <c r="N26" s="1071"/>
      <c r="O26" s="1070"/>
      <c r="P26" s="1071"/>
      <c r="Q26" s="1070"/>
      <c r="R26" s="1071"/>
      <c r="S26" s="1070"/>
      <c r="T26" s="1071"/>
      <c r="U26" s="1070"/>
      <c r="V26" s="1067">
        <v>7480000</v>
      </c>
      <c r="W26" s="224" t="s">
        <v>70</v>
      </c>
      <c r="X26" s="223">
        <f t="shared" si="5"/>
        <v>0</v>
      </c>
      <c r="Y26" s="1066">
        <f>'Budget CR'!I30</f>
        <v>0</v>
      </c>
      <c r="Z26" s="1073"/>
      <c r="AA26" s="1071"/>
      <c r="AB26" s="1073"/>
      <c r="AC26" s="1071"/>
      <c r="AD26" s="1073"/>
      <c r="AE26" s="1071"/>
      <c r="AF26" s="1073"/>
      <c r="AG26" s="1071"/>
      <c r="AH26" s="1073"/>
      <c r="AI26" s="1071"/>
      <c r="AJ26" s="1074"/>
      <c r="AK26" s="1071"/>
      <c r="AL26" s="1074"/>
      <c r="AM26" s="1071"/>
      <c r="AN26" s="1074"/>
      <c r="AO26" s="1071"/>
      <c r="AP26" s="1074"/>
    </row>
    <row r="27" spans="1:42" ht="13.5" thickBot="1" x14ac:dyDescent="0.25">
      <c r="A27" s="1054">
        <v>6183000</v>
      </c>
      <c r="B27" s="1055" t="s">
        <v>133</v>
      </c>
      <c r="C27" s="200">
        <f t="shared" si="2"/>
        <v>0</v>
      </c>
      <c r="D27" s="1033">
        <f>'Budget CR'!D31</f>
        <v>0</v>
      </c>
      <c r="E27" s="1058"/>
      <c r="F27" s="1059"/>
      <c r="G27" s="1058"/>
      <c r="H27" s="1059"/>
      <c r="I27" s="1058"/>
      <c r="J27" s="1059"/>
      <c r="K27" s="1058"/>
      <c r="L27" s="1059"/>
      <c r="M27" s="1058"/>
      <c r="N27" s="1059"/>
      <c r="O27" s="1058"/>
      <c r="P27" s="1059"/>
      <c r="Q27" s="1058"/>
      <c r="R27" s="1059"/>
      <c r="S27" s="1058"/>
      <c r="T27" s="1059"/>
      <c r="U27" s="1058"/>
      <c r="V27" s="1067"/>
      <c r="W27" s="224"/>
      <c r="X27" s="223">
        <f t="shared" si="5"/>
        <v>0</v>
      </c>
      <c r="Y27" s="1075"/>
      <c r="Z27" s="1050"/>
      <c r="AA27" s="1047"/>
      <c r="AB27" s="1050"/>
      <c r="AC27" s="1047"/>
      <c r="AD27" s="1050"/>
      <c r="AE27" s="1047"/>
      <c r="AF27" s="1050"/>
      <c r="AG27" s="1047"/>
      <c r="AH27" s="1050"/>
      <c r="AI27" s="1047"/>
      <c r="AJ27" s="1051"/>
      <c r="AK27" s="1047"/>
      <c r="AL27" s="1051"/>
      <c r="AM27" s="1047"/>
      <c r="AN27" s="1051"/>
      <c r="AO27" s="1047"/>
      <c r="AP27" s="1051"/>
    </row>
    <row r="28" spans="1:42" ht="13.5" thickBot="1" x14ac:dyDescent="0.25">
      <c r="A28" s="198">
        <v>62</v>
      </c>
      <c r="B28" s="199" t="s">
        <v>134</v>
      </c>
      <c r="C28" s="200">
        <f t="shared" si="2"/>
        <v>4483.6000000000004</v>
      </c>
      <c r="D28" s="225">
        <f t="shared" ref="D28" si="15">SUM(D29:D36)</f>
        <v>4483.6000000000004</v>
      </c>
      <c r="E28" s="226">
        <f t="shared" ref="E28:U28" si="16">SUM(E29:E36)</f>
        <v>0</v>
      </c>
      <c r="F28" s="225">
        <f t="shared" si="16"/>
        <v>0</v>
      </c>
      <c r="G28" s="226">
        <f t="shared" si="16"/>
        <v>0</v>
      </c>
      <c r="H28" s="225">
        <f t="shared" si="16"/>
        <v>0</v>
      </c>
      <c r="I28" s="226">
        <f t="shared" si="16"/>
        <v>0</v>
      </c>
      <c r="J28" s="225">
        <f t="shared" si="16"/>
        <v>0</v>
      </c>
      <c r="K28" s="226">
        <f t="shared" si="16"/>
        <v>0</v>
      </c>
      <c r="L28" s="225">
        <f t="shared" si="16"/>
        <v>0</v>
      </c>
      <c r="M28" s="226">
        <f t="shared" si="16"/>
        <v>0</v>
      </c>
      <c r="N28" s="225">
        <f t="shared" ref="N28:S28" si="17">SUM(N29:N36)</f>
        <v>0</v>
      </c>
      <c r="O28" s="226">
        <f t="shared" si="17"/>
        <v>0</v>
      </c>
      <c r="P28" s="225">
        <f>SUM(P29:P36)</f>
        <v>0</v>
      </c>
      <c r="Q28" s="226">
        <f t="shared" si="17"/>
        <v>0</v>
      </c>
      <c r="R28" s="225">
        <f t="shared" si="17"/>
        <v>0</v>
      </c>
      <c r="S28" s="226">
        <f t="shared" si="17"/>
        <v>0</v>
      </c>
      <c r="T28" s="225">
        <f t="shared" si="16"/>
        <v>0</v>
      </c>
      <c r="U28" s="226">
        <f t="shared" si="16"/>
        <v>0</v>
      </c>
      <c r="V28" s="1067"/>
      <c r="W28" s="224"/>
      <c r="X28" s="223">
        <f t="shared" si="5"/>
        <v>0</v>
      </c>
      <c r="Y28" s="1075"/>
      <c r="Z28" s="1050"/>
      <c r="AA28" s="1047"/>
      <c r="AB28" s="1050"/>
      <c r="AC28" s="1047"/>
      <c r="AD28" s="1050"/>
      <c r="AE28" s="1047"/>
      <c r="AF28" s="1050"/>
      <c r="AG28" s="1047"/>
      <c r="AH28" s="1050"/>
      <c r="AI28" s="1047"/>
      <c r="AJ28" s="1051"/>
      <c r="AK28" s="1047"/>
      <c r="AL28" s="1051"/>
      <c r="AM28" s="1047"/>
      <c r="AN28" s="1051"/>
      <c r="AO28" s="1047"/>
      <c r="AP28" s="1051"/>
    </row>
    <row r="29" spans="1:42" ht="12.75" thickBot="1" x14ac:dyDescent="0.25">
      <c r="A29" s="220">
        <v>6226000</v>
      </c>
      <c r="B29" s="221" t="s">
        <v>135</v>
      </c>
      <c r="C29" s="200">
        <f t="shared" si="2"/>
        <v>0</v>
      </c>
      <c r="D29" s="1033">
        <f>'Budget CR'!D33</f>
        <v>0</v>
      </c>
      <c r="E29" s="1036"/>
      <c r="F29" s="1037"/>
      <c r="G29" s="1036"/>
      <c r="H29" s="1037"/>
      <c r="I29" s="1036"/>
      <c r="J29" s="1037"/>
      <c r="K29" s="1036"/>
      <c r="L29" s="1037"/>
      <c r="M29" s="1036"/>
      <c r="N29" s="1037"/>
      <c r="O29" s="1036"/>
      <c r="P29" s="1037"/>
      <c r="Q29" s="1036"/>
      <c r="R29" s="1037"/>
      <c r="S29" s="1036"/>
      <c r="T29" s="1037"/>
      <c r="U29" s="1036"/>
      <c r="V29" s="1067"/>
      <c r="W29" s="1048"/>
      <c r="X29" s="223">
        <f t="shared" si="5"/>
        <v>0</v>
      </c>
      <c r="Y29" s="1075"/>
      <c r="Z29" s="1050"/>
      <c r="AA29" s="1047"/>
      <c r="AB29" s="1050"/>
      <c r="AC29" s="1047"/>
      <c r="AD29" s="1050"/>
      <c r="AE29" s="1047"/>
      <c r="AF29" s="1050"/>
      <c r="AG29" s="1047"/>
      <c r="AH29" s="1050"/>
      <c r="AI29" s="1047"/>
      <c r="AJ29" s="1051"/>
      <c r="AK29" s="1047"/>
      <c r="AL29" s="1051"/>
      <c r="AM29" s="1047"/>
      <c r="AN29" s="1051"/>
      <c r="AO29" s="1047"/>
      <c r="AP29" s="1051"/>
    </row>
    <row r="30" spans="1:42" ht="13.5" thickBot="1" x14ac:dyDescent="0.25">
      <c r="A30" s="214">
        <v>6230000</v>
      </c>
      <c r="B30" s="1043" t="s">
        <v>111</v>
      </c>
      <c r="C30" s="200">
        <f t="shared" si="2"/>
        <v>0</v>
      </c>
      <c r="D30" s="1033">
        <f>'Budget CR'!D34</f>
        <v>0</v>
      </c>
      <c r="E30" s="1046"/>
      <c r="F30" s="1047"/>
      <c r="G30" s="1046"/>
      <c r="H30" s="1047"/>
      <c r="I30" s="1046"/>
      <c r="J30" s="1047"/>
      <c r="K30" s="1046"/>
      <c r="L30" s="1047"/>
      <c r="M30" s="1046"/>
      <c r="N30" s="1047"/>
      <c r="O30" s="1046"/>
      <c r="P30" s="1047"/>
      <c r="Q30" s="1046"/>
      <c r="R30" s="1047"/>
      <c r="S30" s="1046"/>
      <c r="T30" s="1047"/>
      <c r="U30" s="1046"/>
      <c r="V30" s="1067"/>
      <c r="W30" s="224"/>
      <c r="X30" s="223">
        <f t="shared" si="5"/>
        <v>0</v>
      </c>
      <c r="Y30" s="1075"/>
      <c r="Z30" s="1050"/>
      <c r="AA30" s="1047"/>
      <c r="AB30" s="1050"/>
      <c r="AC30" s="1047"/>
      <c r="AD30" s="1050"/>
      <c r="AE30" s="1047"/>
      <c r="AF30" s="1050"/>
      <c r="AG30" s="1047"/>
      <c r="AH30" s="1050"/>
      <c r="AI30" s="1047"/>
      <c r="AJ30" s="1051"/>
      <c r="AK30" s="1047"/>
      <c r="AL30" s="1051"/>
      <c r="AM30" s="1047"/>
      <c r="AN30" s="1051"/>
      <c r="AO30" s="1047"/>
      <c r="AP30" s="1051"/>
    </row>
    <row r="31" spans="1:42" ht="13.5" thickBot="1" x14ac:dyDescent="0.25">
      <c r="A31" s="214">
        <v>6230009</v>
      </c>
      <c r="B31" s="1043" t="s">
        <v>136</v>
      </c>
      <c r="C31" s="200">
        <f t="shared" si="2"/>
        <v>0</v>
      </c>
      <c r="D31" s="1033">
        <f>'Budget CR'!D35</f>
        <v>0</v>
      </c>
      <c r="E31" s="1046"/>
      <c r="F31" s="1047"/>
      <c r="G31" s="1046"/>
      <c r="H31" s="1047"/>
      <c r="I31" s="1046"/>
      <c r="J31" s="1047"/>
      <c r="K31" s="1046"/>
      <c r="L31" s="1047"/>
      <c r="M31" s="1046"/>
      <c r="N31" s="1047"/>
      <c r="O31" s="1046"/>
      <c r="P31" s="1047"/>
      <c r="Q31" s="1046"/>
      <c r="R31" s="1047"/>
      <c r="S31" s="1046"/>
      <c r="T31" s="1047"/>
      <c r="U31" s="1046"/>
      <c r="V31" s="1067"/>
      <c r="W31" s="224"/>
      <c r="X31" s="223">
        <f t="shared" si="5"/>
        <v>0</v>
      </c>
      <c r="Y31" s="1075"/>
      <c r="Z31" s="1050"/>
      <c r="AA31" s="1047"/>
      <c r="AB31" s="1050"/>
      <c r="AC31" s="1047"/>
      <c r="AD31" s="1050"/>
      <c r="AE31" s="1047"/>
      <c r="AF31" s="1050"/>
      <c r="AG31" s="1047"/>
      <c r="AH31" s="1050"/>
      <c r="AI31" s="1047"/>
      <c r="AJ31" s="1051"/>
      <c r="AK31" s="1047"/>
      <c r="AL31" s="1051"/>
      <c r="AM31" s="1047"/>
      <c r="AN31" s="1051"/>
      <c r="AO31" s="1047"/>
      <c r="AP31" s="1051"/>
    </row>
    <row r="32" spans="1:42" ht="12.75" thickBot="1" x14ac:dyDescent="0.25">
      <c r="A32" s="214">
        <v>6240000</v>
      </c>
      <c r="B32" s="1043" t="s">
        <v>137</v>
      </c>
      <c r="C32" s="200">
        <f t="shared" si="2"/>
        <v>3650</v>
      </c>
      <c r="D32" s="1033">
        <f>'Budget CR'!D36</f>
        <v>3650</v>
      </c>
      <c r="E32" s="1046"/>
      <c r="F32" s="1047"/>
      <c r="G32" s="1046"/>
      <c r="H32" s="1047"/>
      <c r="I32" s="1046"/>
      <c r="J32" s="1047"/>
      <c r="K32" s="1046"/>
      <c r="L32" s="1047"/>
      <c r="M32" s="1046"/>
      <c r="N32" s="1047"/>
      <c r="O32" s="1046"/>
      <c r="P32" s="1047"/>
      <c r="Q32" s="1046"/>
      <c r="R32" s="1047"/>
      <c r="S32" s="1046"/>
      <c r="T32" s="1047"/>
      <c r="U32" s="1046"/>
      <c r="V32" s="1067"/>
      <c r="W32" s="1048"/>
      <c r="X32" s="223">
        <f t="shared" si="5"/>
        <v>0</v>
      </c>
      <c r="Y32" s="1075"/>
      <c r="Z32" s="1050"/>
      <c r="AA32" s="1047"/>
      <c r="AB32" s="1050"/>
      <c r="AC32" s="1047"/>
      <c r="AD32" s="1050"/>
      <c r="AE32" s="1047"/>
      <c r="AF32" s="1050"/>
      <c r="AG32" s="1047"/>
      <c r="AH32" s="1050"/>
      <c r="AI32" s="1047"/>
      <c r="AJ32" s="1051"/>
      <c r="AK32" s="1047"/>
      <c r="AL32" s="1051"/>
      <c r="AM32" s="1047"/>
      <c r="AN32" s="1051"/>
      <c r="AO32" s="1047"/>
      <c r="AP32" s="1051"/>
    </row>
    <row r="33" spans="1:42" ht="15.75" customHeight="1" thickBot="1" x14ac:dyDescent="0.25">
      <c r="A33" s="214">
        <v>6250000</v>
      </c>
      <c r="B33" s="1043" t="s">
        <v>138</v>
      </c>
      <c r="C33" s="200">
        <f t="shared" si="2"/>
        <v>700</v>
      </c>
      <c r="D33" s="1033">
        <f>'Budget CR'!D37</f>
        <v>700</v>
      </c>
      <c r="E33" s="1046"/>
      <c r="F33" s="1047"/>
      <c r="G33" s="1046"/>
      <c r="H33" s="1047"/>
      <c r="I33" s="1046"/>
      <c r="J33" s="1047"/>
      <c r="K33" s="1046"/>
      <c r="L33" s="1047"/>
      <c r="M33" s="1046"/>
      <c r="N33" s="1047"/>
      <c r="O33" s="1046"/>
      <c r="P33" s="1047"/>
      <c r="Q33" s="1046"/>
      <c r="R33" s="1047"/>
      <c r="S33" s="1046"/>
      <c r="T33" s="1047"/>
      <c r="U33" s="1046"/>
      <c r="V33" s="1067"/>
      <c r="W33" s="224"/>
      <c r="X33" s="223">
        <f t="shared" si="5"/>
        <v>0</v>
      </c>
      <c r="Y33" s="1075"/>
      <c r="Z33" s="1050"/>
      <c r="AA33" s="1047"/>
      <c r="AB33" s="1050"/>
      <c r="AC33" s="1047"/>
      <c r="AD33" s="1050"/>
      <c r="AE33" s="1047"/>
      <c r="AF33" s="1050"/>
      <c r="AG33" s="1047"/>
      <c r="AH33" s="1050"/>
      <c r="AI33" s="1047"/>
      <c r="AJ33" s="1051"/>
      <c r="AK33" s="1047"/>
      <c r="AL33" s="1051"/>
      <c r="AM33" s="1047"/>
      <c r="AN33" s="1051"/>
      <c r="AO33" s="1047"/>
      <c r="AP33" s="1051"/>
    </row>
    <row r="34" spans="1:42" ht="15.75" customHeight="1" thickBot="1" x14ac:dyDescent="0.25">
      <c r="A34" s="214">
        <v>6260000</v>
      </c>
      <c r="B34" s="1043" t="s">
        <v>139</v>
      </c>
      <c r="C34" s="200">
        <f t="shared" si="2"/>
        <v>0</v>
      </c>
      <c r="D34" s="1033">
        <f>'Budget CR'!D38</f>
        <v>0</v>
      </c>
      <c r="E34" s="1070"/>
      <c r="F34" s="1071"/>
      <c r="G34" s="1070"/>
      <c r="H34" s="1071"/>
      <c r="I34" s="1070"/>
      <c r="J34" s="1071"/>
      <c r="K34" s="1070"/>
      <c r="L34" s="1071"/>
      <c r="M34" s="1070"/>
      <c r="N34" s="1071"/>
      <c r="O34" s="1070"/>
      <c r="P34" s="1071"/>
      <c r="Q34" s="1070"/>
      <c r="R34" s="1071"/>
      <c r="S34" s="1070"/>
      <c r="T34" s="1071"/>
      <c r="U34" s="1070"/>
      <c r="V34" s="1067"/>
      <c r="W34" s="1048"/>
      <c r="X34" s="223">
        <f t="shared" si="5"/>
        <v>0</v>
      </c>
      <c r="Y34" s="1078"/>
      <c r="Z34" s="1073"/>
      <c r="AA34" s="1071"/>
      <c r="AB34" s="1073"/>
      <c r="AC34" s="1071"/>
      <c r="AD34" s="1073"/>
      <c r="AE34" s="1071"/>
      <c r="AF34" s="1073"/>
      <c r="AG34" s="1071"/>
      <c r="AH34" s="1073"/>
      <c r="AI34" s="1071"/>
      <c r="AJ34" s="1074"/>
      <c r="AK34" s="1071"/>
      <c r="AL34" s="1074"/>
      <c r="AM34" s="1071"/>
      <c r="AN34" s="1074"/>
      <c r="AO34" s="1071"/>
      <c r="AP34" s="1074"/>
    </row>
    <row r="35" spans="1:42" ht="15.75" customHeight="1" thickBot="1" x14ac:dyDescent="0.25">
      <c r="A35" s="214">
        <v>6270000</v>
      </c>
      <c r="B35" s="1043" t="s">
        <v>140</v>
      </c>
      <c r="C35" s="200">
        <f t="shared" si="2"/>
        <v>63.6</v>
      </c>
      <c r="D35" s="1033">
        <f>'Budget CR'!D39</f>
        <v>63.6</v>
      </c>
      <c r="E35" s="1046"/>
      <c r="F35" s="1047"/>
      <c r="G35" s="1046"/>
      <c r="H35" s="1047"/>
      <c r="I35" s="1046"/>
      <c r="J35" s="1047"/>
      <c r="K35" s="1046"/>
      <c r="L35" s="1047"/>
      <c r="M35" s="1046"/>
      <c r="N35" s="1047"/>
      <c r="O35" s="1046"/>
      <c r="P35" s="1047"/>
      <c r="Q35" s="1046"/>
      <c r="R35" s="1047"/>
      <c r="S35" s="1046"/>
      <c r="T35" s="1047"/>
      <c r="U35" s="1046"/>
      <c r="V35" s="1067"/>
      <c r="W35" s="1048"/>
      <c r="X35" s="223">
        <f t="shared" si="5"/>
        <v>0</v>
      </c>
      <c r="Y35" s="1075"/>
      <c r="Z35" s="1050"/>
      <c r="AA35" s="1047"/>
      <c r="AB35" s="1050"/>
      <c r="AC35" s="1047"/>
      <c r="AD35" s="1050"/>
      <c r="AE35" s="1047"/>
      <c r="AF35" s="1050"/>
      <c r="AG35" s="1047"/>
      <c r="AH35" s="1050"/>
      <c r="AI35" s="1047"/>
      <c r="AJ35" s="1051"/>
      <c r="AK35" s="1047"/>
      <c r="AL35" s="1051"/>
      <c r="AM35" s="1047"/>
      <c r="AN35" s="1051"/>
      <c r="AO35" s="1047"/>
      <c r="AP35" s="1051"/>
    </row>
    <row r="36" spans="1:42" ht="15.75" customHeight="1" thickBot="1" x14ac:dyDescent="0.25">
      <c r="A36" s="1054">
        <v>6280000</v>
      </c>
      <c r="B36" s="1055" t="s">
        <v>141</v>
      </c>
      <c r="C36" s="200">
        <f t="shared" si="2"/>
        <v>70</v>
      </c>
      <c r="D36" s="1033">
        <f>'Budget CR'!D40</f>
        <v>70</v>
      </c>
      <c r="E36" s="1081"/>
      <c r="F36" s="1082"/>
      <c r="G36" s="1081"/>
      <c r="H36" s="1082"/>
      <c r="I36" s="1081"/>
      <c r="J36" s="1082"/>
      <c r="K36" s="1081"/>
      <c r="L36" s="1082"/>
      <c r="M36" s="1081"/>
      <c r="N36" s="1082"/>
      <c r="O36" s="1081"/>
      <c r="P36" s="1082"/>
      <c r="Q36" s="1081"/>
      <c r="R36" s="1082"/>
      <c r="S36" s="1081"/>
      <c r="T36" s="1082"/>
      <c r="U36" s="1081"/>
      <c r="V36" s="1067"/>
      <c r="W36" s="1048"/>
      <c r="X36" s="223">
        <f t="shared" si="5"/>
        <v>0</v>
      </c>
      <c r="Y36" s="1078"/>
      <c r="Z36" s="1073"/>
      <c r="AA36" s="1071"/>
      <c r="AB36" s="1073"/>
      <c r="AC36" s="1071"/>
      <c r="AD36" s="1073"/>
      <c r="AE36" s="1071"/>
      <c r="AF36" s="1073"/>
      <c r="AG36" s="1071"/>
      <c r="AH36" s="1073"/>
      <c r="AI36" s="1071"/>
      <c r="AJ36" s="1074"/>
      <c r="AK36" s="1071"/>
      <c r="AL36" s="1074"/>
      <c r="AM36" s="1071"/>
      <c r="AN36" s="1074"/>
      <c r="AO36" s="1071"/>
      <c r="AP36" s="1074"/>
    </row>
    <row r="37" spans="1:42" ht="12.75" thickBot="1" x14ac:dyDescent="0.25">
      <c r="A37" s="198">
        <v>63</v>
      </c>
      <c r="B37" s="199" t="s">
        <v>142</v>
      </c>
      <c r="C37" s="200">
        <f t="shared" ref="C37:C61" si="18">SUM(D37:U37)</f>
        <v>0</v>
      </c>
      <c r="D37" s="225">
        <f t="shared" ref="D37" si="19">D38</f>
        <v>0</v>
      </c>
      <c r="E37" s="226">
        <f t="shared" ref="E37:U37" si="20">E38</f>
        <v>0</v>
      </c>
      <c r="F37" s="225">
        <f t="shared" si="20"/>
        <v>0</v>
      </c>
      <c r="G37" s="226">
        <f t="shared" si="20"/>
        <v>0</v>
      </c>
      <c r="H37" s="225">
        <f t="shared" si="20"/>
        <v>0</v>
      </c>
      <c r="I37" s="226">
        <f t="shared" si="20"/>
        <v>0</v>
      </c>
      <c r="J37" s="225">
        <f t="shared" si="20"/>
        <v>0</v>
      </c>
      <c r="K37" s="226">
        <f t="shared" si="20"/>
        <v>0</v>
      </c>
      <c r="L37" s="225">
        <f t="shared" si="20"/>
        <v>0</v>
      </c>
      <c r="M37" s="226">
        <f t="shared" si="20"/>
        <v>0</v>
      </c>
      <c r="N37" s="225">
        <f t="shared" si="20"/>
        <v>0</v>
      </c>
      <c r="O37" s="226">
        <f t="shared" si="20"/>
        <v>0</v>
      </c>
      <c r="P37" s="225">
        <f t="shared" si="20"/>
        <v>0</v>
      </c>
      <c r="Q37" s="226">
        <f t="shared" si="20"/>
        <v>0</v>
      </c>
      <c r="R37" s="225">
        <f t="shared" si="20"/>
        <v>0</v>
      </c>
      <c r="S37" s="226">
        <f t="shared" si="20"/>
        <v>0</v>
      </c>
      <c r="T37" s="225">
        <f t="shared" si="20"/>
        <v>0</v>
      </c>
      <c r="U37" s="226">
        <f t="shared" si="20"/>
        <v>0</v>
      </c>
      <c r="V37" s="1067"/>
      <c r="W37" s="1048"/>
      <c r="X37" s="223">
        <f t="shared" si="5"/>
        <v>0</v>
      </c>
      <c r="Y37" s="1075"/>
      <c r="Z37" s="1050"/>
      <c r="AA37" s="1047"/>
      <c r="AB37" s="1050"/>
      <c r="AC37" s="1047"/>
      <c r="AD37" s="1050"/>
      <c r="AE37" s="1047"/>
      <c r="AF37" s="1050"/>
      <c r="AG37" s="1047"/>
      <c r="AH37" s="1050"/>
      <c r="AI37" s="1047"/>
      <c r="AJ37" s="1051"/>
      <c r="AK37" s="1047"/>
      <c r="AL37" s="1051"/>
      <c r="AM37" s="1047"/>
      <c r="AN37" s="1051"/>
      <c r="AO37" s="1047"/>
      <c r="AP37" s="1051"/>
    </row>
    <row r="38" spans="1:42" ht="15.75" customHeight="1" thickBot="1" x14ac:dyDescent="0.25">
      <c r="A38" s="227">
        <v>6370000</v>
      </c>
      <c r="B38" s="1083" t="s">
        <v>143</v>
      </c>
      <c r="C38" s="200">
        <f t="shared" si="18"/>
        <v>0</v>
      </c>
      <c r="D38" s="1084">
        <f>'Budget CR'!D42</f>
        <v>0</v>
      </c>
      <c r="E38" s="1087"/>
      <c r="F38" s="1088"/>
      <c r="G38" s="1087"/>
      <c r="H38" s="1088"/>
      <c r="I38" s="1087"/>
      <c r="J38" s="1088"/>
      <c r="K38" s="1087"/>
      <c r="L38" s="1088"/>
      <c r="M38" s="1087"/>
      <c r="N38" s="1088"/>
      <c r="O38" s="1087"/>
      <c r="P38" s="1088"/>
      <c r="Q38" s="1087"/>
      <c r="R38" s="1088"/>
      <c r="S38" s="1087"/>
      <c r="T38" s="1088"/>
      <c r="U38" s="1087"/>
      <c r="V38" s="1067"/>
      <c r="W38" s="1048"/>
      <c r="X38" s="223">
        <f t="shared" si="5"/>
        <v>0</v>
      </c>
      <c r="Y38" s="1075"/>
      <c r="Z38" s="1050"/>
      <c r="AA38" s="1047"/>
      <c r="AB38" s="1050"/>
      <c r="AC38" s="1047"/>
      <c r="AD38" s="1050"/>
      <c r="AE38" s="1047"/>
      <c r="AF38" s="1050"/>
      <c r="AG38" s="1047"/>
      <c r="AH38" s="1050"/>
      <c r="AI38" s="1047"/>
      <c r="AJ38" s="1051"/>
      <c r="AK38" s="1047"/>
      <c r="AL38" s="1051"/>
      <c r="AM38" s="1047"/>
      <c r="AN38" s="1051"/>
      <c r="AO38" s="1047"/>
      <c r="AP38" s="1051"/>
    </row>
    <row r="39" spans="1:42" ht="15.75" customHeight="1" thickBot="1" x14ac:dyDescent="0.25">
      <c r="A39" s="198">
        <v>64</v>
      </c>
      <c r="B39" s="199" t="s">
        <v>144</v>
      </c>
      <c r="C39" s="200">
        <f t="shared" si="18"/>
        <v>0</v>
      </c>
      <c r="D39" s="225">
        <f t="shared" ref="D39" si="21">D40+D41+D42</f>
        <v>0</v>
      </c>
      <c r="E39" s="226">
        <f t="shared" ref="E39:U39" si="22">E40+E41+E42</f>
        <v>0</v>
      </c>
      <c r="F39" s="225">
        <f t="shared" si="22"/>
        <v>0</v>
      </c>
      <c r="G39" s="226">
        <f t="shared" si="22"/>
        <v>0</v>
      </c>
      <c r="H39" s="225">
        <f t="shared" si="22"/>
        <v>0</v>
      </c>
      <c r="I39" s="226">
        <f t="shared" si="22"/>
        <v>0</v>
      </c>
      <c r="J39" s="225">
        <f t="shared" si="22"/>
        <v>0</v>
      </c>
      <c r="K39" s="226">
        <f t="shared" si="22"/>
        <v>0</v>
      </c>
      <c r="L39" s="225">
        <f t="shared" si="22"/>
        <v>0</v>
      </c>
      <c r="M39" s="226">
        <f t="shared" si="22"/>
        <v>0</v>
      </c>
      <c r="N39" s="225">
        <f t="shared" ref="N39:S39" si="23">N40+N41+N42</f>
        <v>0</v>
      </c>
      <c r="O39" s="226">
        <f t="shared" si="23"/>
        <v>0</v>
      </c>
      <c r="P39" s="225">
        <f t="shared" si="23"/>
        <v>0</v>
      </c>
      <c r="Q39" s="226">
        <f t="shared" si="23"/>
        <v>0</v>
      </c>
      <c r="R39" s="225">
        <f t="shared" si="23"/>
        <v>0</v>
      </c>
      <c r="S39" s="226">
        <f t="shared" si="23"/>
        <v>0</v>
      </c>
      <c r="T39" s="225">
        <f t="shared" si="22"/>
        <v>0</v>
      </c>
      <c r="U39" s="226">
        <f t="shared" si="22"/>
        <v>0</v>
      </c>
      <c r="V39" s="1067"/>
      <c r="W39" s="1048"/>
      <c r="X39" s="223">
        <f t="shared" si="5"/>
        <v>0</v>
      </c>
      <c r="Y39" s="1075"/>
      <c r="Z39" s="1050"/>
      <c r="AA39" s="1047"/>
      <c r="AB39" s="1050"/>
      <c r="AC39" s="1047"/>
      <c r="AD39" s="1050"/>
      <c r="AE39" s="1047"/>
      <c r="AF39" s="1050"/>
      <c r="AG39" s="1047"/>
      <c r="AH39" s="1050"/>
      <c r="AI39" s="1047"/>
      <c r="AJ39" s="1051"/>
      <c r="AK39" s="1047"/>
      <c r="AL39" s="1051"/>
      <c r="AM39" s="1047"/>
      <c r="AN39" s="1051"/>
      <c r="AO39" s="1047"/>
      <c r="AP39" s="1051"/>
    </row>
    <row r="40" spans="1:42" ht="15.75" customHeight="1" thickBot="1" x14ac:dyDescent="0.25">
      <c r="A40" s="211">
        <v>6410009</v>
      </c>
      <c r="B40" s="1032" t="s">
        <v>112</v>
      </c>
      <c r="C40" s="200">
        <f t="shared" si="18"/>
        <v>0</v>
      </c>
      <c r="D40" s="1089">
        <f>'Budget CR'!D44</f>
        <v>0</v>
      </c>
      <c r="E40" s="1092"/>
      <c r="F40" s="1093"/>
      <c r="G40" s="1092"/>
      <c r="H40" s="1093"/>
      <c r="I40" s="1092"/>
      <c r="J40" s="1093"/>
      <c r="K40" s="1092"/>
      <c r="L40" s="1093"/>
      <c r="M40" s="1092"/>
      <c r="N40" s="1093"/>
      <c r="O40" s="1092"/>
      <c r="P40" s="1093"/>
      <c r="Q40" s="1092"/>
      <c r="R40" s="1093"/>
      <c r="S40" s="1092"/>
      <c r="T40" s="1093"/>
      <c r="U40" s="1092"/>
      <c r="V40" s="1067"/>
      <c r="W40" s="1048"/>
      <c r="X40" s="223">
        <f t="shared" si="5"/>
        <v>0</v>
      </c>
      <c r="Y40" s="1078"/>
      <c r="Z40" s="1073"/>
      <c r="AA40" s="1071"/>
      <c r="AB40" s="1073"/>
      <c r="AC40" s="1071"/>
      <c r="AD40" s="1073"/>
      <c r="AE40" s="1071"/>
      <c r="AF40" s="1073"/>
      <c r="AG40" s="1071"/>
      <c r="AH40" s="1073"/>
      <c r="AI40" s="1071"/>
      <c r="AJ40" s="1074"/>
      <c r="AK40" s="1071"/>
      <c r="AL40" s="1074"/>
      <c r="AM40" s="1071"/>
      <c r="AN40" s="1074"/>
      <c r="AO40" s="1071"/>
      <c r="AP40" s="1074"/>
    </row>
    <row r="41" spans="1:42" ht="12.75" thickBot="1" x14ac:dyDescent="0.25">
      <c r="A41" s="215">
        <v>6450009</v>
      </c>
      <c r="B41" s="1094" t="s">
        <v>145</v>
      </c>
      <c r="C41" s="200">
        <f t="shared" si="18"/>
        <v>0</v>
      </c>
      <c r="D41" s="1089">
        <f>'Budget CR'!D45</f>
        <v>0</v>
      </c>
      <c r="E41" s="1046"/>
      <c r="F41" s="1047"/>
      <c r="G41" s="1046"/>
      <c r="H41" s="1047"/>
      <c r="I41" s="1046"/>
      <c r="J41" s="1047"/>
      <c r="K41" s="1046"/>
      <c r="L41" s="1047"/>
      <c r="M41" s="1046"/>
      <c r="N41" s="1047"/>
      <c r="O41" s="1046"/>
      <c r="P41" s="1047"/>
      <c r="Q41" s="1046"/>
      <c r="R41" s="1047"/>
      <c r="S41" s="1046"/>
      <c r="T41" s="1047"/>
      <c r="U41" s="1046"/>
      <c r="V41" s="1095"/>
      <c r="W41" s="1060"/>
      <c r="X41" s="223">
        <f t="shared" si="5"/>
        <v>0</v>
      </c>
      <c r="Y41" s="1075"/>
      <c r="Z41" s="1050"/>
      <c r="AA41" s="1047"/>
      <c r="AB41" s="1050"/>
      <c r="AC41" s="1047"/>
      <c r="AD41" s="1050"/>
      <c r="AE41" s="1047"/>
      <c r="AF41" s="1050"/>
      <c r="AG41" s="1047"/>
      <c r="AH41" s="1050"/>
      <c r="AI41" s="1047"/>
      <c r="AJ41" s="1051"/>
      <c r="AK41" s="1047"/>
      <c r="AL41" s="1051"/>
      <c r="AM41" s="1047"/>
      <c r="AN41" s="1051"/>
      <c r="AO41" s="1047"/>
      <c r="AP41" s="1051"/>
    </row>
    <row r="42" spans="1:42" ht="12.75" thickBot="1" x14ac:dyDescent="0.25">
      <c r="A42" s="1095">
        <v>6480000</v>
      </c>
      <c r="B42" s="1094" t="s">
        <v>146</v>
      </c>
      <c r="C42" s="200">
        <f t="shared" si="18"/>
        <v>0</v>
      </c>
      <c r="D42" s="1089">
        <f>'Budget CR'!D46</f>
        <v>0</v>
      </c>
      <c r="E42" s="1058"/>
      <c r="F42" s="1059"/>
      <c r="G42" s="1058"/>
      <c r="H42" s="1059"/>
      <c r="I42" s="1058"/>
      <c r="J42" s="1059"/>
      <c r="K42" s="1058"/>
      <c r="L42" s="1059"/>
      <c r="M42" s="1058"/>
      <c r="N42" s="1059"/>
      <c r="O42" s="1058"/>
      <c r="P42" s="1059"/>
      <c r="Q42" s="1058"/>
      <c r="R42" s="1059"/>
      <c r="S42" s="1058"/>
      <c r="T42" s="1059"/>
      <c r="U42" s="1058"/>
      <c r="V42" s="228"/>
      <c r="W42" s="229"/>
      <c r="X42" s="223">
        <f t="shared" si="5"/>
        <v>0</v>
      </c>
      <c r="Y42" s="1096"/>
      <c r="Z42" s="1063"/>
      <c r="AA42" s="1059"/>
      <c r="AB42" s="1063"/>
      <c r="AC42" s="1059"/>
      <c r="AD42" s="1063"/>
      <c r="AE42" s="1059"/>
      <c r="AF42" s="1063"/>
      <c r="AG42" s="1059"/>
      <c r="AH42" s="1063"/>
      <c r="AI42" s="1059"/>
      <c r="AJ42" s="1064"/>
      <c r="AK42" s="1059"/>
      <c r="AL42" s="1064"/>
      <c r="AM42" s="1059"/>
      <c r="AN42" s="1064"/>
      <c r="AO42" s="1059"/>
      <c r="AP42" s="1064"/>
    </row>
    <row r="43" spans="1:42" ht="12.75" thickBot="1" x14ac:dyDescent="0.25">
      <c r="A43" s="198">
        <v>65</v>
      </c>
      <c r="B43" s="199" t="s">
        <v>147</v>
      </c>
      <c r="C43" s="200">
        <f t="shared" si="18"/>
        <v>6107.6</v>
      </c>
      <c r="D43" s="225">
        <f t="shared" ref="D43" si="24">SUM(D44:D51)</f>
        <v>6107.6</v>
      </c>
      <c r="E43" s="226">
        <f t="shared" ref="E43:U43" si="25">SUM(E44:E51)</f>
        <v>0</v>
      </c>
      <c r="F43" s="225">
        <f t="shared" si="25"/>
        <v>0</v>
      </c>
      <c r="G43" s="226">
        <f t="shared" si="25"/>
        <v>0</v>
      </c>
      <c r="H43" s="225">
        <f t="shared" si="25"/>
        <v>0</v>
      </c>
      <c r="I43" s="226">
        <f t="shared" si="25"/>
        <v>0</v>
      </c>
      <c r="J43" s="225">
        <f t="shared" si="25"/>
        <v>0</v>
      </c>
      <c r="K43" s="226">
        <f t="shared" si="25"/>
        <v>0</v>
      </c>
      <c r="L43" s="225">
        <f t="shared" si="25"/>
        <v>0</v>
      </c>
      <c r="M43" s="226">
        <f t="shared" si="25"/>
        <v>0</v>
      </c>
      <c r="N43" s="225">
        <f t="shared" ref="N43:S43" si="26">SUM(N44:N51)</f>
        <v>0</v>
      </c>
      <c r="O43" s="226">
        <f t="shared" si="26"/>
        <v>0</v>
      </c>
      <c r="P43" s="225">
        <f t="shared" si="26"/>
        <v>0</v>
      </c>
      <c r="Q43" s="226">
        <f t="shared" si="26"/>
        <v>0</v>
      </c>
      <c r="R43" s="225">
        <f t="shared" si="26"/>
        <v>0</v>
      </c>
      <c r="S43" s="226">
        <f t="shared" si="26"/>
        <v>0</v>
      </c>
      <c r="T43" s="225">
        <f t="shared" si="25"/>
        <v>0</v>
      </c>
      <c r="U43" s="226">
        <f t="shared" si="25"/>
        <v>0</v>
      </c>
      <c r="V43" s="205">
        <v>75</v>
      </c>
      <c r="W43" s="206" t="s">
        <v>71</v>
      </c>
      <c r="X43" s="230">
        <f t="shared" si="5"/>
        <v>350</v>
      </c>
      <c r="Y43" s="225">
        <f t="shared" ref="Y43" si="27">SUM(Y44:Y51)</f>
        <v>350</v>
      </c>
      <c r="Z43" s="231">
        <f t="shared" ref="Z43:AP43" si="28">SUM(Z44:Z51)</f>
        <v>0</v>
      </c>
      <c r="AA43" s="225">
        <f t="shared" si="28"/>
        <v>0</v>
      </c>
      <c r="AB43" s="231">
        <f t="shared" si="28"/>
        <v>0</v>
      </c>
      <c r="AC43" s="225">
        <f t="shared" si="28"/>
        <v>0</v>
      </c>
      <c r="AD43" s="231">
        <f t="shared" si="28"/>
        <v>0</v>
      </c>
      <c r="AE43" s="225">
        <f t="shared" si="28"/>
        <v>0</v>
      </c>
      <c r="AF43" s="231">
        <f t="shared" si="28"/>
        <v>0</v>
      </c>
      <c r="AG43" s="225">
        <f t="shared" si="28"/>
        <v>0</v>
      </c>
      <c r="AH43" s="231">
        <f t="shared" si="28"/>
        <v>0</v>
      </c>
      <c r="AI43" s="225">
        <f t="shared" ref="AI43:AN43" si="29">SUM(AI44:AI51)</f>
        <v>0</v>
      </c>
      <c r="AJ43" s="232">
        <f t="shared" si="29"/>
        <v>0</v>
      </c>
      <c r="AK43" s="225">
        <f t="shared" si="29"/>
        <v>0</v>
      </c>
      <c r="AL43" s="232">
        <f t="shared" si="29"/>
        <v>0</v>
      </c>
      <c r="AM43" s="225">
        <f t="shared" si="29"/>
        <v>0</v>
      </c>
      <c r="AN43" s="232">
        <f t="shared" si="29"/>
        <v>0</v>
      </c>
      <c r="AO43" s="225">
        <f t="shared" si="28"/>
        <v>0</v>
      </c>
      <c r="AP43" s="232">
        <f t="shared" si="28"/>
        <v>0</v>
      </c>
    </row>
    <row r="44" spans="1:42" ht="15.75" customHeight="1" thickBot="1" x14ac:dyDescent="0.25">
      <c r="A44" s="211">
        <v>6561009</v>
      </c>
      <c r="B44" s="1032" t="s">
        <v>148</v>
      </c>
      <c r="C44" s="200">
        <f t="shared" si="18"/>
        <v>350</v>
      </c>
      <c r="D44" s="1033">
        <f>'Budget CR'!D48</f>
        <v>350</v>
      </c>
      <c r="E44" s="1036"/>
      <c r="F44" s="1037"/>
      <c r="G44" s="1036"/>
      <c r="H44" s="1037"/>
      <c r="I44" s="1036"/>
      <c r="J44" s="1037"/>
      <c r="K44" s="1036"/>
      <c r="L44" s="1037"/>
      <c r="M44" s="1036"/>
      <c r="N44" s="1037"/>
      <c r="O44" s="1036"/>
      <c r="P44" s="1037"/>
      <c r="Q44" s="1036"/>
      <c r="R44" s="1037"/>
      <c r="S44" s="1036"/>
      <c r="T44" s="1037"/>
      <c r="U44" s="1036"/>
      <c r="V44" s="1065">
        <v>7540000</v>
      </c>
      <c r="W44" s="1038" t="s">
        <v>72</v>
      </c>
      <c r="X44" s="233">
        <f t="shared" si="5"/>
        <v>0</v>
      </c>
      <c r="Y44" s="1033">
        <f>'Budget CR'!I48</f>
        <v>0</v>
      </c>
      <c r="Z44" s="1041"/>
      <c r="AA44" s="1037"/>
      <c r="AB44" s="1041"/>
      <c r="AC44" s="1037"/>
      <c r="AD44" s="1041"/>
      <c r="AE44" s="1037"/>
      <c r="AF44" s="1041"/>
      <c r="AG44" s="1037"/>
      <c r="AH44" s="1041"/>
      <c r="AI44" s="1037"/>
      <c r="AJ44" s="1042"/>
      <c r="AK44" s="1037"/>
      <c r="AL44" s="1042"/>
      <c r="AM44" s="1037"/>
      <c r="AN44" s="1042"/>
      <c r="AO44" s="1037"/>
      <c r="AP44" s="1042"/>
    </row>
    <row r="45" spans="1:42" ht="15.75" customHeight="1" thickBot="1" x14ac:dyDescent="0.25">
      <c r="A45" s="214">
        <v>6566009</v>
      </c>
      <c r="B45" s="1043" t="s">
        <v>149</v>
      </c>
      <c r="C45" s="200">
        <f t="shared" si="18"/>
        <v>0</v>
      </c>
      <c r="D45" s="1033">
        <f>'Budget CR'!D49</f>
        <v>0</v>
      </c>
      <c r="E45" s="1070"/>
      <c r="F45" s="1071"/>
      <c r="G45" s="1070"/>
      <c r="H45" s="1071"/>
      <c r="I45" s="1070"/>
      <c r="J45" s="1071"/>
      <c r="K45" s="1070"/>
      <c r="L45" s="1071"/>
      <c r="M45" s="1070"/>
      <c r="N45" s="1071"/>
      <c r="O45" s="1070"/>
      <c r="P45" s="1071"/>
      <c r="Q45" s="1070"/>
      <c r="R45" s="1071"/>
      <c r="S45" s="1070"/>
      <c r="T45" s="1071"/>
      <c r="U45" s="1070"/>
      <c r="V45" s="1065">
        <v>7540009</v>
      </c>
      <c r="W45" s="1038" t="s">
        <v>73</v>
      </c>
      <c r="X45" s="233">
        <f t="shared" si="5"/>
        <v>0</v>
      </c>
      <c r="Y45" s="1033">
        <f>'Budget CR'!I49</f>
        <v>0</v>
      </c>
      <c r="Z45" s="1073"/>
      <c r="AA45" s="1071"/>
      <c r="AB45" s="1073"/>
      <c r="AC45" s="1071"/>
      <c r="AD45" s="1073"/>
      <c r="AE45" s="1071"/>
      <c r="AF45" s="1073"/>
      <c r="AG45" s="1071"/>
      <c r="AH45" s="1073"/>
      <c r="AI45" s="1071"/>
      <c r="AJ45" s="1074"/>
      <c r="AK45" s="1071"/>
      <c r="AL45" s="1074"/>
      <c r="AM45" s="1071"/>
      <c r="AN45" s="1074"/>
      <c r="AO45" s="1071"/>
      <c r="AP45" s="1074"/>
    </row>
    <row r="46" spans="1:42" ht="15.75" customHeight="1" thickBot="1" x14ac:dyDescent="0.25">
      <c r="A46" s="214">
        <v>6570009</v>
      </c>
      <c r="B46" s="1043" t="s">
        <v>150</v>
      </c>
      <c r="C46" s="200">
        <f t="shared" si="18"/>
        <v>0</v>
      </c>
      <c r="D46" s="1033">
        <f>'Budget CR'!D50</f>
        <v>0</v>
      </c>
      <c r="E46" s="1046"/>
      <c r="F46" s="1047"/>
      <c r="G46" s="1046"/>
      <c r="H46" s="1047"/>
      <c r="I46" s="1046"/>
      <c r="J46" s="1047"/>
      <c r="K46" s="1046"/>
      <c r="L46" s="1047"/>
      <c r="M46" s="1046"/>
      <c r="N46" s="1047"/>
      <c r="O46" s="1046"/>
      <c r="P46" s="1047"/>
      <c r="Q46" s="1046"/>
      <c r="R46" s="1047"/>
      <c r="S46" s="1046"/>
      <c r="T46" s="1047"/>
      <c r="U46" s="1046"/>
      <c r="V46" s="1065">
        <v>7560000</v>
      </c>
      <c r="W46" s="1038" t="s">
        <v>74</v>
      </c>
      <c r="X46" s="233">
        <f t="shared" si="5"/>
        <v>350</v>
      </c>
      <c r="Y46" s="1033">
        <f>'Budget CR'!I50</f>
        <v>350</v>
      </c>
      <c r="Z46" s="1050"/>
      <c r="AA46" s="1047"/>
      <c r="AB46" s="1050"/>
      <c r="AC46" s="1047"/>
      <c r="AD46" s="1050"/>
      <c r="AE46" s="1047"/>
      <c r="AF46" s="1050"/>
      <c r="AG46" s="1047"/>
      <c r="AH46" s="1050"/>
      <c r="AI46" s="1047"/>
      <c r="AJ46" s="1051"/>
      <c r="AK46" s="1047"/>
      <c r="AL46" s="1051"/>
      <c r="AM46" s="1047"/>
      <c r="AN46" s="1051"/>
      <c r="AO46" s="1047"/>
      <c r="AP46" s="1051"/>
    </row>
    <row r="47" spans="1:42" ht="15.75" customHeight="1" thickBot="1" x14ac:dyDescent="0.25">
      <c r="A47" s="214">
        <v>6572009</v>
      </c>
      <c r="B47" s="1043" t="s">
        <v>151</v>
      </c>
      <c r="C47" s="200">
        <f t="shared" si="18"/>
        <v>0</v>
      </c>
      <c r="D47" s="1033">
        <f>'Budget CR'!D51</f>
        <v>0</v>
      </c>
      <c r="E47" s="1070"/>
      <c r="F47" s="1071"/>
      <c r="G47" s="1070"/>
      <c r="H47" s="1071"/>
      <c r="I47" s="1070"/>
      <c r="J47" s="1071"/>
      <c r="K47" s="1070"/>
      <c r="L47" s="1071"/>
      <c r="M47" s="1070"/>
      <c r="N47" s="1071"/>
      <c r="O47" s="1070"/>
      <c r="P47" s="1071"/>
      <c r="Q47" s="1070"/>
      <c r="R47" s="1071"/>
      <c r="S47" s="1070"/>
      <c r="T47" s="1071"/>
      <c r="U47" s="1070"/>
      <c r="V47" s="1067">
        <v>7580000</v>
      </c>
      <c r="W47" s="1048" t="s">
        <v>75</v>
      </c>
      <c r="X47" s="233">
        <f t="shared" si="5"/>
        <v>0</v>
      </c>
      <c r="Y47" s="1033">
        <f>'Budget CR'!I51</f>
        <v>0</v>
      </c>
      <c r="Z47" s="1073"/>
      <c r="AA47" s="1071"/>
      <c r="AB47" s="1073"/>
      <c r="AC47" s="1071"/>
      <c r="AD47" s="1073"/>
      <c r="AE47" s="1071"/>
      <c r="AF47" s="1073"/>
      <c r="AG47" s="1071"/>
      <c r="AH47" s="1073"/>
      <c r="AI47" s="1071"/>
      <c r="AJ47" s="1074"/>
      <c r="AK47" s="1071"/>
      <c r="AL47" s="1074"/>
      <c r="AM47" s="1071"/>
      <c r="AN47" s="1074"/>
      <c r="AO47" s="1071"/>
      <c r="AP47" s="1074"/>
    </row>
    <row r="48" spans="1:42" ht="12.75" thickBot="1" x14ac:dyDescent="0.25">
      <c r="A48" s="214">
        <v>6580000</v>
      </c>
      <c r="B48" s="1043" t="s">
        <v>152</v>
      </c>
      <c r="C48" s="200">
        <f t="shared" si="18"/>
        <v>1000</v>
      </c>
      <c r="D48" s="1033">
        <f>'Budget CR'!D52</f>
        <v>1000</v>
      </c>
      <c r="E48" s="1046"/>
      <c r="F48" s="1047"/>
      <c r="G48" s="1046"/>
      <c r="H48" s="1047"/>
      <c r="I48" s="1046"/>
      <c r="J48" s="1047"/>
      <c r="K48" s="1046"/>
      <c r="L48" s="1047"/>
      <c r="M48" s="1046"/>
      <c r="N48" s="1047"/>
      <c r="O48" s="1046"/>
      <c r="P48" s="1047"/>
      <c r="Q48" s="1046"/>
      <c r="R48" s="1047"/>
      <c r="S48" s="1046"/>
      <c r="T48" s="1047"/>
      <c r="U48" s="1046"/>
      <c r="V48" s="1067">
        <v>7580009</v>
      </c>
      <c r="W48" s="1048" t="s">
        <v>76</v>
      </c>
      <c r="X48" s="233">
        <f t="shared" si="5"/>
        <v>0</v>
      </c>
      <c r="Y48" s="1033">
        <f>'Budget CR'!I52</f>
        <v>0</v>
      </c>
      <c r="Z48" s="1050"/>
      <c r="AA48" s="1047"/>
      <c r="AB48" s="1050"/>
      <c r="AC48" s="1047"/>
      <c r="AD48" s="1050"/>
      <c r="AE48" s="1047"/>
      <c r="AF48" s="1050"/>
      <c r="AG48" s="1047"/>
      <c r="AH48" s="1050"/>
      <c r="AI48" s="1047"/>
      <c r="AJ48" s="1051"/>
      <c r="AK48" s="1047"/>
      <c r="AL48" s="1051"/>
      <c r="AM48" s="1047"/>
      <c r="AN48" s="1051"/>
      <c r="AO48" s="1047"/>
      <c r="AP48" s="1051"/>
    </row>
    <row r="49" spans="1:42" ht="15.75" customHeight="1" thickBot="1" x14ac:dyDescent="0.25">
      <c r="A49" s="215">
        <v>6580009</v>
      </c>
      <c r="B49" s="1043" t="s">
        <v>153</v>
      </c>
      <c r="C49" s="200">
        <f t="shared" si="18"/>
        <v>3000</v>
      </c>
      <c r="D49" s="1033">
        <f>'Budget CR'!D53</f>
        <v>3000</v>
      </c>
      <c r="E49" s="1046"/>
      <c r="F49" s="1047"/>
      <c r="G49" s="1046"/>
      <c r="H49" s="1047"/>
      <c r="I49" s="1046"/>
      <c r="J49" s="1047"/>
      <c r="K49" s="1046"/>
      <c r="L49" s="1047"/>
      <c r="M49" s="1046"/>
      <c r="N49" s="1047"/>
      <c r="O49" s="1046"/>
      <c r="P49" s="1047"/>
      <c r="Q49" s="1046"/>
      <c r="R49" s="1047"/>
      <c r="S49" s="1046"/>
      <c r="T49" s="1047"/>
      <c r="U49" s="1046"/>
      <c r="V49" s="1067">
        <v>7580029</v>
      </c>
      <c r="W49" s="1048" t="s">
        <v>77</v>
      </c>
      <c r="X49" s="233">
        <f t="shared" si="5"/>
        <v>0</v>
      </c>
      <c r="Y49" s="1033">
        <f>'Budget CR'!I53</f>
        <v>0</v>
      </c>
      <c r="Z49" s="1050"/>
      <c r="AA49" s="1047"/>
      <c r="AB49" s="1050"/>
      <c r="AC49" s="1047"/>
      <c r="AD49" s="1050"/>
      <c r="AE49" s="1047"/>
      <c r="AF49" s="1050"/>
      <c r="AG49" s="1047"/>
      <c r="AH49" s="1050"/>
      <c r="AI49" s="1047"/>
      <c r="AJ49" s="1051"/>
      <c r="AK49" s="1047"/>
      <c r="AL49" s="1051"/>
      <c r="AM49" s="1047"/>
      <c r="AN49" s="1051"/>
      <c r="AO49" s="1047"/>
      <c r="AP49" s="1051"/>
    </row>
    <row r="50" spans="1:42" ht="15.75" customHeight="1" thickBot="1" x14ac:dyDescent="0.25">
      <c r="A50" s="1067">
        <v>6580029</v>
      </c>
      <c r="B50" s="1043" t="s">
        <v>77</v>
      </c>
      <c r="C50" s="200">
        <f t="shared" si="18"/>
        <v>0</v>
      </c>
      <c r="D50" s="1033">
        <f>'Budget CR'!D54</f>
        <v>0</v>
      </c>
      <c r="E50" s="1070"/>
      <c r="F50" s="1071"/>
      <c r="G50" s="1070"/>
      <c r="H50" s="1071"/>
      <c r="I50" s="1070"/>
      <c r="J50" s="1071"/>
      <c r="K50" s="1070"/>
      <c r="L50" s="1071"/>
      <c r="M50" s="1070"/>
      <c r="N50" s="1071"/>
      <c r="O50" s="1070"/>
      <c r="P50" s="1071"/>
      <c r="Q50" s="1070"/>
      <c r="R50" s="1071"/>
      <c r="S50" s="1070"/>
      <c r="T50" s="1071"/>
      <c r="U50" s="1070"/>
      <c r="V50" s="1067">
        <v>7581009</v>
      </c>
      <c r="W50" s="1048" t="s">
        <v>78</v>
      </c>
      <c r="X50" s="233">
        <f t="shared" si="5"/>
        <v>0</v>
      </c>
      <c r="Y50" s="1033">
        <f>'Budget CR'!I54</f>
        <v>0</v>
      </c>
      <c r="Z50" s="1073"/>
      <c r="AA50" s="1071"/>
      <c r="AB50" s="1073"/>
      <c r="AC50" s="1071"/>
      <c r="AD50" s="1073"/>
      <c r="AE50" s="1071"/>
      <c r="AF50" s="1073"/>
      <c r="AG50" s="1071"/>
      <c r="AH50" s="1073"/>
      <c r="AI50" s="1071"/>
      <c r="AJ50" s="1074"/>
      <c r="AK50" s="1071"/>
      <c r="AL50" s="1074"/>
      <c r="AM50" s="1071"/>
      <c r="AN50" s="1074"/>
      <c r="AO50" s="1071"/>
      <c r="AP50" s="1074"/>
    </row>
    <row r="51" spans="1:42" ht="12.75" thickBot="1" x14ac:dyDescent="0.25">
      <c r="A51" s="215">
        <v>6581009</v>
      </c>
      <c r="B51" s="1083" t="s">
        <v>78</v>
      </c>
      <c r="C51" s="200">
        <f t="shared" si="18"/>
        <v>1757.6</v>
      </c>
      <c r="D51" s="1033">
        <f>'Budget CR'!D55</f>
        <v>1757.6</v>
      </c>
      <c r="E51" s="1058"/>
      <c r="F51" s="1059"/>
      <c r="G51" s="1058"/>
      <c r="H51" s="1059"/>
      <c r="I51" s="1058"/>
      <c r="J51" s="1059"/>
      <c r="K51" s="1058"/>
      <c r="L51" s="1059"/>
      <c r="M51" s="1058"/>
      <c r="N51" s="1059"/>
      <c r="O51" s="1058"/>
      <c r="P51" s="1059"/>
      <c r="Q51" s="1058"/>
      <c r="R51" s="1059"/>
      <c r="S51" s="1058"/>
      <c r="T51" s="1059"/>
      <c r="U51" s="1058"/>
      <c r="V51" s="1067"/>
      <c r="W51" s="229"/>
      <c r="X51" s="233">
        <f t="shared" si="5"/>
        <v>0</v>
      </c>
      <c r="Y51" s="1098"/>
      <c r="Z51" s="1063"/>
      <c r="AA51" s="1059"/>
      <c r="AB51" s="1063"/>
      <c r="AC51" s="1059"/>
      <c r="AD51" s="1063"/>
      <c r="AE51" s="1059"/>
      <c r="AF51" s="1063"/>
      <c r="AG51" s="1059"/>
      <c r="AH51" s="1063"/>
      <c r="AI51" s="1059"/>
      <c r="AJ51" s="1064"/>
      <c r="AK51" s="1059"/>
      <c r="AL51" s="1064"/>
      <c r="AM51" s="1059"/>
      <c r="AN51" s="1064"/>
      <c r="AO51" s="1059"/>
      <c r="AP51" s="1064"/>
    </row>
    <row r="52" spans="1:42" ht="15.75" customHeight="1" thickBot="1" x14ac:dyDescent="0.25">
      <c r="A52" s="198">
        <v>66</v>
      </c>
      <c r="B52" s="199" t="s">
        <v>154</v>
      </c>
      <c r="C52" s="200">
        <f t="shared" si="18"/>
        <v>0</v>
      </c>
      <c r="D52" s="225">
        <f t="shared" ref="D52" si="30">D53</f>
        <v>0</v>
      </c>
      <c r="E52" s="226">
        <f t="shared" ref="E52:U52" si="31">E53</f>
        <v>0</v>
      </c>
      <c r="F52" s="225">
        <f t="shared" si="31"/>
        <v>0</v>
      </c>
      <c r="G52" s="226">
        <f t="shared" si="31"/>
        <v>0</v>
      </c>
      <c r="H52" s="225">
        <f t="shared" si="31"/>
        <v>0</v>
      </c>
      <c r="I52" s="226">
        <f t="shared" si="31"/>
        <v>0</v>
      </c>
      <c r="J52" s="225">
        <f t="shared" si="31"/>
        <v>0</v>
      </c>
      <c r="K52" s="226">
        <f t="shared" si="31"/>
        <v>0</v>
      </c>
      <c r="L52" s="225">
        <f t="shared" si="31"/>
        <v>0</v>
      </c>
      <c r="M52" s="226">
        <f t="shared" si="31"/>
        <v>0</v>
      </c>
      <c r="N52" s="225">
        <f t="shared" si="31"/>
        <v>0</v>
      </c>
      <c r="O52" s="226">
        <f t="shared" si="31"/>
        <v>0</v>
      </c>
      <c r="P52" s="225">
        <f t="shared" si="31"/>
        <v>0</v>
      </c>
      <c r="Q52" s="226">
        <f t="shared" si="31"/>
        <v>0</v>
      </c>
      <c r="R52" s="225">
        <f t="shared" si="31"/>
        <v>0</v>
      </c>
      <c r="S52" s="226">
        <f t="shared" si="31"/>
        <v>0</v>
      </c>
      <c r="T52" s="225">
        <f t="shared" si="31"/>
        <v>0</v>
      </c>
      <c r="U52" s="226">
        <f t="shared" si="31"/>
        <v>0</v>
      </c>
      <c r="V52" s="205">
        <v>76</v>
      </c>
      <c r="W52" s="206" t="s">
        <v>79</v>
      </c>
      <c r="X52" s="233">
        <f t="shared" si="5"/>
        <v>0</v>
      </c>
      <c r="Y52" s="225">
        <f t="shared" ref="Y52" si="32">Y53</f>
        <v>0</v>
      </c>
      <c r="Z52" s="231">
        <f t="shared" ref="Z52:AP52" si="33">Z53</f>
        <v>0</v>
      </c>
      <c r="AA52" s="225">
        <f t="shared" si="33"/>
        <v>0</v>
      </c>
      <c r="AB52" s="231">
        <f t="shared" si="33"/>
        <v>0</v>
      </c>
      <c r="AC52" s="225">
        <f t="shared" si="33"/>
        <v>0</v>
      </c>
      <c r="AD52" s="231">
        <f t="shared" si="33"/>
        <v>0</v>
      </c>
      <c r="AE52" s="225">
        <f t="shared" si="33"/>
        <v>0</v>
      </c>
      <c r="AF52" s="231">
        <f t="shared" si="33"/>
        <v>0</v>
      </c>
      <c r="AG52" s="225">
        <f t="shared" si="33"/>
        <v>0</v>
      </c>
      <c r="AH52" s="231">
        <f t="shared" si="33"/>
        <v>0</v>
      </c>
      <c r="AI52" s="225">
        <f t="shared" si="33"/>
        <v>0</v>
      </c>
      <c r="AJ52" s="232">
        <f t="shared" si="33"/>
        <v>0</v>
      </c>
      <c r="AK52" s="225">
        <f t="shared" si="33"/>
        <v>0</v>
      </c>
      <c r="AL52" s="232">
        <f t="shared" si="33"/>
        <v>0</v>
      </c>
      <c r="AM52" s="225">
        <f t="shared" si="33"/>
        <v>0</v>
      </c>
      <c r="AN52" s="232">
        <f t="shared" si="33"/>
        <v>0</v>
      </c>
      <c r="AO52" s="225">
        <f t="shared" si="33"/>
        <v>0</v>
      </c>
      <c r="AP52" s="232">
        <f t="shared" si="33"/>
        <v>0</v>
      </c>
    </row>
    <row r="53" spans="1:42" ht="15.75" customHeight="1" thickBot="1" x14ac:dyDescent="0.25">
      <c r="A53" s="227">
        <v>6600000</v>
      </c>
      <c r="B53" s="1083" t="s">
        <v>154</v>
      </c>
      <c r="C53" s="200">
        <f t="shared" si="18"/>
        <v>0</v>
      </c>
      <c r="D53" s="1099">
        <f>'Budget CR'!D57</f>
        <v>0</v>
      </c>
      <c r="E53" s="1102"/>
      <c r="F53" s="1103"/>
      <c r="G53" s="1102"/>
      <c r="H53" s="1103"/>
      <c r="I53" s="1102"/>
      <c r="J53" s="1103"/>
      <c r="K53" s="1102"/>
      <c r="L53" s="1103"/>
      <c r="M53" s="1102"/>
      <c r="N53" s="1103"/>
      <c r="O53" s="1102"/>
      <c r="P53" s="1103"/>
      <c r="Q53" s="1102"/>
      <c r="R53" s="1103"/>
      <c r="S53" s="1102"/>
      <c r="T53" s="1103"/>
      <c r="U53" s="1102"/>
      <c r="V53" s="234">
        <v>7600000</v>
      </c>
      <c r="W53" s="1104" t="s">
        <v>79</v>
      </c>
      <c r="X53" s="233">
        <f t="shared" si="5"/>
        <v>0</v>
      </c>
      <c r="Y53" s="1099">
        <f>'Budget CR'!I57</f>
        <v>0</v>
      </c>
      <c r="Z53" s="1106"/>
      <c r="AA53" s="1103"/>
      <c r="AB53" s="1106"/>
      <c r="AC53" s="1103"/>
      <c r="AD53" s="1106"/>
      <c r="AE53" s="1103"/>
      <c r="AF53" s="1106"/>
      <c r="AG53" s="1103"/>
      <c r="AH53" s="1106"/>
      <c r="AI53" s="1103"/>
      <c r="AJ53" s="1107"/>
      <c r="AK53" s="1103"/>
      <c r="AL53" s="1107"/>
      <c r="AM53" s="1103"/>
      <c r="AN53" s="1107"/>
      <c r="AO53" s="1103"/>
      <c r="AP53" s="1107"/>
    </row>
    <row r="54" spans="1:42" ht="15.75" customHeight="1" thickBot="1" x14ac:dyDescent="0.25">
      <c r="A54" s="198">
        <v>67</v>
      </c>
      <c r="B54" s="199" t="s">
        <v>155</v>
      </c>
      <c r="C54" s="200">
        <f t="shared" si="18"/>
        <v>0</v>
      </c>
      <c r="D54" s="203">
        <f t="shared" ref="D54" si="34">SUM(D55:D57)</f>
        <v>0</v>
      </c>
      <c r="E54" s="202">
        <f t="shared" ref="E54:U54" si="35">SUM(E55:E57)</f>
        <v>0</v>
      </c>
      <c r="F54" s="203">
        <f t="shared" si="35"/>
        <v>0</v>
      </c>
      <c r="G54" s="202">
        <f t="shared" si="35"/>
        <v>0</v>
      </c>
      <c r="H54" s="203">
        <f t="shared" si="35"/>
        <v>0</v>
      </c>
      <c r="I54" s="202">
        <f t="shared" si="35"/>
        <v>0</v>
      </c>
      <c r="J54" s="203">
        <f t="shared" si="35"/>
        <v>0</v>
      </c>
      <c r="K54" s="202">
        <f t="shared" si="35"/>
        <v>0</v>
      </c>
      <c r="L54" s="203">
        <f t="shared" si="35"/>
        <v>0</v>
      </c>
      <c r="M54" s="202">
        <f t="shared" si="35"/>
        <v>0</v>
      </c>
      <c r="N54" s="203">
        <f t="shared" ref="N54:S54" si="36">SUM(N55:N57)</f>
        <v>0</v>
      </c>
      <c r="O54" s="202">
        <f t="shared" si="36"/>
        <v>0</v>
      </c>
      <c r="P54" s="203">
        <f t="shared" si="36"/>
        <v>0</v>
      </c>
      <c r="Q54" s="202">
        <f t="shared" si="36"/>
        <v>0</v>
      </c>
      <c r="R54" s="203">
        <f t="shared" si="36"/>
        <v>0</v>
      </c>
      <c r="S54" s="202">
        <f t="shared" si="36"/>
        <v>0</v>
      </c>
      <c r="T54" s="203">
        <f t="shared" si="35"/>
        <v>0</v>
      </c>
      <c r="U54" s="202">
        <f t="shared" si="35"/>
        <v>0</v>
      </c>
      <c r="V54" s="205">
        <v>77</v>
      </c>
      <c r="W54" s="206" t="s">
        <v>80</v>
      </c>
      <c r="X54" s="233">
        <f t="shared" si="5"/>
        <v>0</v>
      </c>
      <c r="Y54" s="203">
        <f t="shared" ref="Y54" si="37">SUM(Y55:Y59)</f>
        <v>0</v>
      </c>
      <c r="Z54" s="218">
        <f t="shared" ref="Z54:AP54" si="38">SUM(Z55:Z59)</f>
        <v>0</v>
      </c>
      <c r="AA54" s="203">
        <f t="shared" si="38"/>
        <v>0</v>
      </c>
      <c r="AB54" s="218">
        <f t="shared" si="38"/>
        <v>0</v>
      </c>
      <c r="AC54" s="203">
        <f t="shared" si="38"/>
        <v>0</v>
      </c>
      <c r="AD54" s="218">
        <f t="shared" si="38"/>
        <v>0</v>
      </c>
      <c r="AE54" s="203">
        <f t="shared" si="38"/>
        <v>0</v>
      </c>
      <c r="AF54" s="218">
        <f t="shared" si="38"/>
        <v>0</v>
      </c>
      <c r="AG54" s="203">
        <f t="shared" si="38"/>
        <v>0</v>
      </c>
      <c r="AH54" s="218">
        <f t="shared" si="38"/>
        <v>0</v>
      </c>
      <c r="AI54" s="203">
        <f t="shared" ref="AI54:AN54" si="39">SUM(AI55:AI59)</f>
        <v>0</v>
      </c>
      <c r="AJ54" s="219">
        <f t="shared" si="39"/>
        <v>0</v>
      </c>
      <c r="AK54" s="203">
        <f t="shared" si="39"/>
        <v>0</v>
      </c>
      <c r="AL54" s="219">
        <f t="shared" si="39"/>
        <v>0</v>
      </c>
      <c r="AM54" s="203">
        <f t="shared" si="39"/>
        <v>0</v>
      </c>
      <c r="AN54" s="219">
        <f t="shared" si="39"/>
        <v>0</v>
      </c>
      <c r="AO54" s="203">
        <f t="shared" si="38"/>
        <v>0</v>
      </c>
      <c r="AP54" s="219">
        <f t="shared" si="38"/>
        <v>0</v>
      </c>
    </row>
    <row r="55" spans="1:42" ht="15.75" customHeight="1" thickBot="1" x14ac:dyDescent="0.25">
      <c r="A55" s="211">
        <v>6712000</v>
      </c>
      <c r="B55" s="1032" t="s">
        <v>156</v>
      </c>
      <c r="C55" s="200">
        <f t="shared" si="18"/>
        <v>0</v>
      </c>
      <c r="D55" s="1089">
        <f>'Budget CR'!D59</f>
        <v>0</v>
      </c>
      <c r="E55" s="1092"/>
      <c r="F55" s="1093"/>
      <c r="G55" s="1092"/>
      <c r="H55" s="1093"/>
      <c r="I55" s="1092"/>
      <c r="J55" s="1093"/>
      <c r="K55" s="1092"/>
      <c r="L55" s="1093"/>
      <c r="M55" s="1092"/>
      <c r="N55" s="1093"/>
      <c r="O55" s="1092"/>
      <c r="P55" s="1093"/>
      <c r="Q55" s="1092"/>
      <c r="R55" s="1093"/>
      <c r="S55" s="1092"/>
      <c r="T55" s="1093"/>
      <c r="U55" s="1092"/>
      <c r="V55" s="235">
        <v>7718000</v>
      </c>
      <c r="W55" s="236" t="s">
        <v>80</v>
      </c>
      <c r="X55" s="233">
        <f t="shared" si="5"/>
        <v>0</v>
      </c>
      <c r="Y55" s="1089">
        <f>'Budget CR'!I59</f>
        <v>0</v>
      </c>
      <c r="Z55" s="1109"/>
      <c r="AA55" s="1093"/>
      <c r="AB55" s="1109"/>
      <c r="AC55" s="1093"/>
      <c r="AD55" s="1109"/>
      <c r="AE55" s="1093"/>
      <c r="AF55" s="1109"/>
      <c r="AG55" s="1093"/>
      <c r="AH55" s="1109"/>
      <c r="AI55" s="1093"/>
      <c r="AJ55" s="1110"/>
      <c r="AK55" s="1093"/>
      <c r="AL55" s="1110"/>
      <c r="AM55" s="1093"/>
      <c r="AN55" s="1110"/>
      <c r="AO55" s="1093"/>
      <c r="AP55" s="1110"/>
    </row>
    <row r="56" spans="1:42" ht="15.75" customHeight="1" thickBot="1" x14ac:dyDescent="0.25">
      <c r="A56" s="227">
        <v>6718000</v>
      </c>
      <c r="B56" s="1083" t="s">
        <v>157</v>
      </c>
      <c r="C56" s="200">
        <f t="shared" si="18"/>
        <v>0</v>
      </c>
      <c r="D56" s="1089">
        <f>'Budget CR'!D60</f>
        <v>0</v>
      </c>
      <c r="E56" s="1046"/>
      <c r="F56" s="1047"/>
      <c r="G56" s="1046"/>
      <c r="H56" s="1047"/>
      <c r="I56" s="1046"/>
      <c r="J56" s="1047"/>
      <c r="K56" s="1046"/>
      <c r="L56" s="1047"/>
      <c r="M56" s="1046"/>
      <c r="N56" s="1047"/>
      <c r="O56" s="1046"/>
      <c r="P56" s="1047"/>
      <c r="Q56" s="1046"/>
      <c r="R56" s="1047"/>
      <c r="S56" s="1046"/>
      <c r="T56" s="1047"/>
      <c r="U56" s="1046"/>
      <c r="V56" s="1065">
        <v>7720000</v>
      </c>
      <c r="W56" s="1038" t="s">
        <v>81</v>
      </c>
      <c r="X56" s="233">
        <f t="shared" si="5"/>
        <v>0</v>
      </c>
      <c r="Y56" s="1089">
        <f>'Budget CR'!I60</f>
        <v>0</v>
      </c>
      <c r="Z56" s="1050"/>
      <c r="AA56" s="1047"/>
      <c r="AB56" s="1050"/>
      <c r="AC56" s="1047"/>
      <c r="AD56" s="1050"/>
      <c r="AE56" s="1047"/>
      <c r="AF56" s="1050"/>
      <c r="AG56" s="1047"/>
      <c r="AH56" s="1050"/>
      <c r="AI56" s="1047"/>
      <c r="AJ56" s="1051"/>
      <c r="AK56" s="1047"/>
      <c r="AL56" s="1051"/>
      <c r="AM56" s="1047"/>
      <c r="AN56" s="1051"/>
      <c r="AO56" s="1047"/>
      <c r="AP56" s="1051"/>
    </row>
    <row r="57" spans="1:42" ht="16.5" customHeight="1" thickBot="1" x14ac:dyDescent="0.25">
      <c r="A57" s="215">
        <v>6750000</v>
      </c>
      <c r="B57" s="1094" t="s">
        <v>158</v>
      </c>
      <c r="C57" s="200">
        <f t="shared" si="18"/>
        <v>0</v>
      </c>
      <c r="D57" s="1089">
        <f>'Budget CR'!D61</f>
        <v>0</v>
      </c>
      <c r="E57" s="1081"/>
      <c r="F57" s="1082"/>
      <c r="G57" s="1081"/>
      <c r="H57" s="1082"/>
      <c r="I57" s="1081"/>
      <c r="J57" s="1082"/>
      <c r="K57" s="1081"/>
      <c r="L57" s="1082"/>
      <c r="M57" s="1081"/>
      <c r="N57" s="1082"/>
      <c r="O57" s="1081"/>
      <c r="P57" s="1082"/>
      <c r="Q57" s="1081"/>
      <c r="R57" s="1082"/>
      <c r="S57" s="1081"/>
      <c r="T57" s="1082"/>
      <c r="U57" s="1081"/>
      <c r="V57" s="1067">
        <v>7750000</v>
      </c>
      <c r="W57" s="1048" t="s">
        <v>82</v>
      </c>
      <c r="X57" s="233">
        <f t="shared" si="5"/>
        <v>0</v>
      </c>
      <c r="Y57" s="1089">
        <f>'Budget CR'!I61</f>
        <v>0</v>
      </c>
      <c r="Z57" s="1073"/>
      <c r="AA57" s="1071"/>
      <c r="AB57" s="1073"/>
      <c r="AC57" s="1071"/>
      <c r="AD57" s="1073"/>
      <c r="AE57" s="1071"/>
      <c r="AF57" s="1073"/>
      <c r="AG57" s="1071"/>
      <c r="AH57" s="1073"/>
      <c r="AI57" s="1071"/>
      <c r="AJ57" s="1074"/>
      <c r="AK57" s="1071"/>
      <c r="AL57" s="1074"/>
      <c r="AM57" s="1071"/>
      <c r="AN57" s="1074"/>
      <c r="AO57" s="1071"/>
      <c r="AP57" s="1074"/>
    </row>
    <row r="58" spans="1:42" ht="15.75" customHeight="1" thickBot="1" x14ac:dyDescent="0.25">
      <c r="A58" s="205">
        <v>68</v>
      </c>
      <c r="B58" s="199" t="s">
        <v>159</v>
      </c>
      <c r="C58" s="200">
        <f t="shared" si="18"/>
        <v>0</v>
      </c>
      <c r="D58" s="203">
        <f t="shared" ref="D58" si="40">SUM(D59:D60)</f>
        <v>0</v>
      </c>
      <c r="E58" s="202">
        <f t="shared" ref="E58:U58" si="41">SUM(E59:E60)</f>
        <v>0</v>
      </c>
      <c r="F58" s="203">
        <f t="shared" si="41"/>
        <v>0</v>
      </c>
      <c r="G58" s="202">
        <f t="shared" si="41"/>
        <v>0</v>
      </c>
      <c r="H58" s="203">
        <f t="shared" si="41"/>
        <v>0</v>
      </c>
      <c r="I58" s="202">
        <f t="shared" si="41"/>
        <v>0</v>
      </c>
      <c r="J58" s="203">
        <f t="shared" si="41"/>
        <v>0</v>
      </c>
      <c r="K58" s="202">
        <f t="shared" si="41"/>
        <v>0</v>
      </c>
      <c r="L58" s="203">
        <f t="shared" si="41"/>
        <v>0</v>
      </c>
      <c r="M58" s="202">
        <f t="shared" si="41"/>
        <v>0</v>
      </c>
      <c r="N58" s="203">
        <f t="shared" ref="N58:S58" si="42">SUM(N59:N60)</f>
        <v>0</v>
      </c>
      <c r="O58" s="202">
        <f t="shared" si="42"/>
        <v>0</v>
      </c>
      <c r="P58" s="203">
        <f t="shared" si="42"/>
        <v>0</v>
      </c>
      <c r="Q58" s="202">
        <f t="shared" si="42"/>
        <v>0</v>
      </c>
      <c r="R58" s="203">
        <f t="shared" si="42"/>
        <v>0</v>
      </c>
      <c r="S58" s="202">
        <f t="shared" si="42"/>
        <v>0</v>
      </c>
      <c r="T58" s="203">
        <f t="shared" si="41"/>
        <v>0</v>
      </c>
      <c r="U58" s="202">
        <f t="shared" si="41"/>
        <v>0</v>
      </c>
      <c r="V58" s="1067">
        <v>7770000</v>
      </c>
      <c r="W58" s="1048" t="s">
        <v>83</v>
      </c>
      <c r="X58" s="233">
        <f t="shared" si="5"/>
        <v>0</v>
      </c>
      <c r="Y58" s="1089">
        <f>'Budget CR'!I62</f>
        <v>0</v>
      </c>
      <c r="Z58" s="1073"/>
      <c r="AA58" s="1071"/>
      <c r="AB58" s="1073"/>
      <c r="AC58" s="1071"/>
      <c r="AD58" s="1073"/>
      <c r="AE58" s="1071"/>
      <c r="AF58" s="1073"/>
      <c r="AG58" s="1071"/>
      <c r="AH58" s="1073"/>
      <c r="AI58" s="1071"/>
      <c r="AJ58" s="1074"/>
      <c r="AK58" s="1071"/>
      <c r="AL58" s="1074"/>
      <c r="AM58" s="1071"/>
      <c r="AN58" s="1074"/>
      <c r="AO58" s="1071"/>
      <c r="AP58" s="1074"/>
    </row>
    <row r="59" spans="1:42" ht="15.75" customHeight="1" thickBot="1" x14ac:dyDescent="0.25">
      <c r="A59" s="211">
        <v>6810000</v>
      </c>
      <c r="B59" s="1032" t="s">
        <v>160</v>
      </c>
      <c r="C59" s="200">
        <f t="shared" si="18"/>
        <v>0</v>
      </c>
      <c r="D59" s="1089">
        <f>'Budget CR'!D63</f>
        <v>0</v>
      </c>
      <c r="E59" s="1092"/>
      <c r="F59" s="1093"/>
      <c r="G59" s="1092"/>
      <c r="H59" s="1093"/>
      <c r="I59" s="1092"/>
      <c r="J59" s="1093"/>
      <c r="K59" s="1092"/>
      <c r="L59" s="1093"/>
      <c r="M59" s="1092"/>
      <c r="N59" s="1093"/>
      <c r="O59" s="1092"/>
      <c r="P59" s="1093"/>
      <c r="Q59" s="1092"/>
      <c r="R59" s="1093"/>
      <c r="S59" s="1092"/>
      <c r="T59" s="1093"/>
      <c r="U59" s="1092"/>
      <c r="V59" s="1095">
        <v>7815000</v>
      </c>
      <c r="W59" s="1060" t="s">
        <v>84</v>
      </c>
      <c r="X59" s="233">
        <f t="shared" si="5"/>
        <v>0</v>
      </c>
      <c r="Y59" s="1089">
        <f>'Budget CR'!I63</f>
        <v>0</v>
      </c>
      <c r="Z59" s="1112"/>
      <c r="AA59" s="1082"/>
      <c r="AB59" s="1112"/>
      <c r="AC59" s="1082"/>
      <c r="AD59" s="1112"/>
      <c r="AE59" s="1082"/>
      <c r="AF59" s="1112"/>
      <c r="AG59" s="1082"/>
      <c r="AH59" s="1112"/>
      <c r="AI59" s="1082"/>
      <c r="AJ59" s="1113"/>
      <c r="AK59" s="1082"/>
      <c r="AL59" s="1113"/>
      <c r="AM59" s="1082"/>
      <c r="AN59" s="1113"/>
      <c r="AO59" s="1082"/>
      <c r="AP59" s="1113"/>
    </row>
    <row r="60" spans="1:42" ht="12.75" thickBot="1" x14ac:dyDescent="0.25">
      <c r="A60" s="1054">
        <v>6815000</v>
      </c>
      <c r="B60" s="1055" t="s">
        <v>161</v>
      </c>
      <c r="C60" s="200">
        <f t="shared" si="18"/>
        <v>0</v>
      </c>
      <c r="D60" s="1089">
        <f>'Budget CR'!D64</f>
        <v>0</v>
      </c>
      <c r="E60" s="1114"/>
      <c r="F60" s="1115"/>
      <c r="G60" s="1114"/>
      <c r="H60" s="1115"/>
      <c r="I60" s="1114"/>
      <c r="J60" s="1115"/>
      <c r="K60" s="1114"/>
      <c r="L60" s="1115"/>
      <c r="M60" s="1114"/>
      <c r="N60" s="1115"/>
      <c r="O60" s="1114"/>
      <c r="P60" s="1115"/>
      <c r="Q60" s="1114"/>
      <c r="R60" s="1115"/>
      <c r="S60" s="1114"/>
      <c r="T60" s="1115"/>
      <c r="U60" s="1114"/>
      <c r="V60" s="205">
        <v>7910000</v>
      </c>
      <c r="W60" s="206" t="s">
        <v>85</v>
      </c>
      <c r="X60" s="237">
        <f t="shared" si="5"/>
        <v>0</v>
      </c>
      <c r="Y60" s="238">
        <f>'Budget CR'!I64</f>
        <v>0</v>
      </c>
      <c r="Z60" s="239"/>
      <c r="AA60" s="240"/>
      <c r="AB60" s="239"/>
      <c r="AC60" s="240"/>
      <c r="AD60" s="239"/>
      <c r="AE60" s="240"/>
      <c r="AF60" s="239"/>
      <c r="AG60" s="240"/>
      <c r="AH60" s="239"/>
      <c r="AI60" s="240"/>
      <c r="AJ60" s="241"/>
      <c r="AK60" s="240"/>
      <c r="AL60" s="241"/>
      <c r="AM60" s="240"/>
      <c r="AN60" s="241"/>
      <c r="AO60" s="240"/>
      <c r="AP60" s="241"/>
    </row>
    <row r="61" spans="1:42" ht="15.75" customHeight="1" thickBot="1" x14ac:dyDescent="0.25">
      <c r="B61" s="198" t="s">
        <v>162</v>
      </c>
      <c r="C61" s="200">
        <f t="shared" si="18"/>
        <v>70570.010000000009</v>
      </c>
      <c r="D61" s="242">
        <f t="shared" ref="D61" si="43">D58+D54+D52+D43+D39+D37+D28+D17+D5</f>
        <v>70570.010000000009</v>
      </c>
      <c r="E61" s="243">
        <f t="shared" ref="E61:U61" si="44">E58+E54+E52+E43+E39+E37+E28+E17+E5</f>
        <v>0</v>
      </c>
      <c r="F61" s="238">
        <f t="shared" si="44"/>
        <v>0</v>
      </c>
      <c r="G61" s="243">
        <f t="shared" si="44"/>
        <v>0</v>
      </c>
      <c r="H61" s="238">
        <f t="shared" si="44"/>
        <v>0</v>
      </c>
      <c r="I61" s="243">
        <f t="shared" si="44"/>
        <v>0</v>
      </c>
      <c r="J61" s="238">
        <f t="shared" si="44"/>
        <v>0</v>
      </c>
      <c r="K61" s="243">
        <f t="shared" si="44"/>
        <v>0</v>
      </c>
      <c r="L61" s="238">
        <f t="shared" si="44"/>
        <v>0</v>
      </c>
      <c r="M61" s="243">
        <f t="shared" si="44"/>
        <v>0</v>
      </c>
      <c r="N61" s="238">
        <f t="shared" ref="N61:S61" si="45">N58+N54+N52+N43+N39+N37+N28+N17+N5</f>
        <v>0</v>
      </c>
      <c r="O61" s="244">
        <f t="shared" si="45"/>
        <v>0</v>
      </c>
      <c r="P61" s="238">
        <f t="shared" si="45"/>
        <v>0</v>
      </c>
      <c r="Q61" s="244">
        <f t="shared" si="45"/>
        <v>0</v>
      </c>
      <c r="R61" s="238">
        <f t="shared" si="45"/>
        <v>0</v>
      </c>
      <c r="S61" s="244">
        <f t="shared" si="45"/>
        <v>0</v>
      </c>
      <c r="T61" s="238">
        <f t="shared" si="44"/>
        <v>0</v>
      </c>
      <c r="U61" s="244">
        <f t="shared" si="44"/>
        <v>0</v>
      </c>
      <c r="V61" s="245"/>
      <c r="W61" s="198" t="s">
        <v>86</v>
      </c>
      <c r="X61" s="223">
        <f t="shared" si="5"/>
        <v>74230</v>
      </c>
      <c r="Y61" s="242">
        <f t="shared" ref="Y61" si="46">Y60+Y54+Y52+Y43+Y17+Y5</f>
        <v>74230</v>
      </c>
      <c r="Z61" s="246">
        <f t="shared" ref="Z61:AP61" si="47">Z60+Z54+Z52+Z43+Z17+Z5</f>
        <v>0</v>
      </c>
      <c r="AA61" s="238">
        <f t="shared" si="47"/>
        <v>0</v>
      </c>
      <c r="AB61" s="246">
        <f t="shared" si="47"/>
        <v>0</v>
      </c>
      <c r="AC61" s="238">
        <f t="shared" si="47"/>
        <v>0</v>
      </c>
      <c r="AD61" s="246">
        <f t="shared" si="47"/>
        <v>0</v>
      </c>
      <c r="AE61" s="238">
        <f t="shared" si="47"/>
        <v>0</v>
      </c>
      <c r="AF61" s="246">
        <f t="shared" si="47"/>
        <v>0</v>
      </c>
      <c r="AG61" s="238">
        <f t="shared" si="47"/>
        <v>0</v>
      </c>
      <c r="AH61" s="246">
        <f t="shared" si="47"/>
        <v>0</v>
      </c>
      <c r="AI61" s="238">
        <f t="shared" ref="AI61:AN61" si="48">AI60+AI54+AI52+AI43+AI17+AI5</f>
        <v>0</v>
      </c>
      <c r="AJ61" s="238">
        <f t="shared" si="48"/>
        <v>0</v>
      </c>
      <c r="AK61" s="238">
        <f t="shared" si="48"/>
        <v>0</v>
      </c>
      <c r="AL61" s="247">
        <f t="shared" si="48"/>
        <v>0</v>
      </c>
      <c r="AM61" s="238">
        <f t="shared" si="48"/>
        <v>0</v>
      </c>
      <c r="AN61" s="247">
        <f t="shared" si="48"/>
        <v>0</v>
      </c>
      <c r="AO61" s="238">
        <f t="shared" si="47"/>
        <v>0</v>
      </c>
      <c r="AP61" s="247">
        <f t="shared" si="47"/>
        <v>0</v>
      </c>
    </row>
    <row r="62" spans="1:42" ht="15.75" customHeight="1" thickBot="1" x14ac:dyDescent="0.25">
      <c r="V62" s="136"/>
      <c r="W62" s="248"/>
      <c r="Z62" s="249"/>
    </row>
    <row r="63" spans="1:42" ht="15.75" customHeight="1" thickBot="1" x14ac:dyDescent="0.25">
      <c r="B63" s="250" t="s">
        <v>245</v>
      </c>
      <c r="C63" s="243">
        <f>SUM(D63:U63)</f>
        <v>3659.9899999999907</v>
      </c>
      <c r="D63" s="238">
        <f t="shared" ref="D63:N63" si="49">+Y61-D61</f>
        <v>3659.9899999999907</v>
      </c>
      <c r="E63" s="243">
        <f t="shared" si="49"/>
        <v>0</v>
      </c>
      <c r="F63" s="238">
        <f t="shared" si="49"/>
        <v>0</v>
      </c>
      <c r="G63" s="243">
        <f t="shared" si="49"/>
        <v>0</v>
      </c>
      <c r="H63" s="238">
        <f t="shared" si="49"/>
        <v>0</v>
      </c>
      <c r="I63" s="243">
        <f t="shared" si="49"/>
        <v>0</v>
      </c>
      <c r="J63" s="238">
        <f t="shared" si="49"/>
        <v>0</v>
      </c>
      <c r="K63" s="243">
        <f t="shared" si="49"/>
        <v>0</v>
      </c>
      <c r="L63" s="238">
        <f t="shared" si="49"/>
        <v>0</v>
      </c>
      <c r="M63" s="243">
        <f t="shared" si="49"/>
        <v>0</v>
      </c>
      <c r="N63" s="495">
        <f t="shared" si="49"/>
        <v>0</v>
      </c>
      <c r="O63" s="495">
        <f t="shared" ref="O63:S63" si="50">+AJ61-O61</f>
        <v>0</v>
      </c>
      <c r="P63" s="495">
        <f t="shared" si="50"/>
        <v>0</v>
      </c>
      <c r="Q63" s="495">
        <f t="shared" si="50"/>
        <v>0</v>
      </c>
      <c r="R63" s="495">
        <f t="shared" si="50"/>
        <v>0</v>
      </c>
      <c r="S63" s="495">
        <f t="shared" si="50"/>
        <v>0</v>
      </c>
      <c r="T63" s="238">
        <f>+AO61-T61</f>
        <v>0</v>
      </c>
      <c r="U63" s="243">
        <f>+AP61-U61</f>
        <v>0</v>
      </c>
      <c r="V63" s="136"/>
      <c r="W63" s="248"/>
      <c r="Z63" s="249"/>
    </row>
    <row r="64" spans="1:42" ht="15.75" customHeight="1" thickBot="1" x14ac:dyDescent="0.25">
      <c r="N64" s="496"/>
      <c r="V64" s="136"/>
      <c r="W64" s="248"/>
      <c r="Z64" s="249"/>
    </row>
    <row r="65" spans="2:21" ht="15.75" customHeight="1" thickBot="1" x14ac:dyDescent="0.25">
      <c r="B65" s="251" t="s">
        <v>827</v>
      </c>
      <c r="C65" s="252">
        <f>SUM(D65:U65)</f>
        <v>70570.009999999995</v>
      </c>
      <c r="D65" s="253">
        <f t="shared" ref="D65:U65" si="51">D5+D17+D28+D37+D39+D43+D52+D54+D58</f>
        <v>70570.009999999995</v>
      </c>
      <c r="E65" s="254">
        <f t="shared" si="51"/>
        <v>0</v>
      </c>
      <c r="F65" s="253">
        <f t="shared" si="51"/>
        <v>0</v>
      </c>
      <c r="G65" s="254">
        <f t="shared" si="51"/>
        <v>0</v>
      </c>
      <c r="H65" s="253">
        <f t="shared" si="51"/>
        <v>0</v>
      </c>
      <c r="I65" s="254">
        <f t="shared" si="51"/>
        <v>0</v>
      </c>
      <c r="J65" s="253">
        <f t="shared" si="51"/>
        <v>0</v>
      </c>
      <c r="K65" s="254">
        <f t="shared" si="51"/>
        <v>0</v>
      </c>
      <c r="L65" s="253">
        <f t="shared" si="51"/>
        <v>0</v>
      </c>
      <c r="M65" s="254">
        <f t="shared" si="51"/>
        <v>0</v>
      </c>
      <c r="N65" s="497">
        <f t="shared" si="51"/>
        <v>0</v>
      </c>
      <c r="O65" s="497">
        <f t="shared" si="51"/>
        <v>0</v>
      </c>
      <c r="P65" s="497">
        <f t="shared" si="51"/>
        <v>0</v>
      </c>
      <c r="Q65" s="497">
        <f t="shared" si="51"/>
        <v>0</v>
      </c>
      <c r="R65" s="497">
        <f t="shared" si="51"/>
        <v>0</v>
      </c>
      <c r="S65" s="497">
        <f t="shared" si="51"/>
        <v>0</v>
      </c>
      <c r="T65" s="253">
        <f t="shared" si="51"/>
        <v>0</v>
      </c>
      <c r="U65" s="254">
        <f t="shared" si="51"/>
        <v>0</v>
      </c>
    </row>
    <row r="66" spans="2:21" ht="15.75" customHeight="1" thickBot="1" x14ac:dyDescent="0.25"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60"/>
      <c r="O66" s="255"/>
      <c r="P66" s="255"/>
      <c r="Q66" s="255"/>
      <c r="R66" s="255"/>
      <c r="S66" s="255"/>
      <c r="T66" s="255"/>
      <c r="U66" s="255"/>
    </row>
    <row r="67" spans="2:21" ht="15.75" customHeight="1" thickBot="1" x14ac:dyDescent="0.25">
      <c r="B67" s="256" t="s">
        <v>828</v>
      </c>
      <c r="C67" s="257">
        <f>SUM(D67:U67)</f>
        <v>74230</v>
      </c>
      <c r="D67" s="258">
        <f t="shared" ref="D67:O67" si="52">Y5+Y17+Y43</f>
        <v>74230</v>
      </c>
      <c r="E67" s="259">
        <f t="shared" si="52"/>
        <v>0</v>
      </c>
      <c r="F67" s="258">
        <f t="shared" si="52"/>
        <v>0</v>
      </c>
      <c r="G67" s="259">
        <f t="shared" si="52"/>
        <v>0</v>
      </c>
      <c r="H67" s="258">
        <f t="shared" si="52"/>
        <v>0</v>
      </c>
      <c r="I67" s="259">
        <f t="shared" si="52"/>
        <v>0</v>
      </c>
      <c r="J67" s="258">
        <f t="shared" si="52"/>
        <v>0</v>
      </c>
      <c r="K67" s="259">
        <f t="shared" si="52"/>
        <v>0</v>
      </c>
      <c r="L67" s="258">
        <f t="shared" si="52"/>
        <v>0</v>
      </c>
      <c r="M67" s="259">
        <f t="shared" si="52"/>
        <v>0</v>
      </c>
      <c r="N67" s="498">
        <f t="shared" si="52"/>
        <v>0</v>
      </c>
      <c r="O67" s="498">
        <f t="shared" si="52"/>
        <v>0</v>
      </c>
      <c r="P67" s="498">
        <f t="shared" ref="P67:S67" si="53">AK5+AK17+AK43</f>
        <v>0</v>
      </c>
      <c r="Q67" s="498">
        <f t="shared" si="53"/>
        <v>0</v>
      </c>
      <c r="R67" s="498">
        <f t="shared" si="53"/>
        <v>0</v>
      </c>
      <c r="S67" s="498">
        <f t="shared" si="53"/>
        <v>0</v>
      </c>
      <c r="T67" s="258">
        <f t="shared" ref="T67:U67" si="54">AO5+AO17+AO43</f>
        <v>0</v>
      </c>
      <c r="U67" s="259">
        <f t="shared" si="54"/>
        <v>0</v>
      </c>
    </row>
    <row r="68" spans="2:21" ht="15.75" customHeight="1" thickBot="1" x14ac:dyDescent="0.25">
      <c r="C68" s="255"/>
      <c r="D68" s="255"/>
      <c r="E68" s="260"/>
      <c r="F68" s="255"/>
      <c r="G68" s="255"/>
      <c r="H68" s="255"/>
      <c r="I68" s="255"/>
      <c r="J68" s="255"/>
      <c r="K68" s="255"/>
      <c r="L68" s="255"/>
      <c r="M68" s="255"/>
      <c r="N68" s="260"/>
      <c r="O68" s="255"/>
      <c r="P68" s="255"/>
      <c r="Q68" s="255"/>
      <c r="R68" s="255"/>
      <c r="S68" s="255"/>
      <c r="T68" s="255"/>
      <c r="U68" s="255"/>
    </row>
    <row r="69" spans="2:21" s="261" customFormat="1" ht="15.75" customHeight="1" thickBot="1" x14ac:dyDescent="0.25">
      <c r="B69" s="262" t="s">
        <v>829</v>
      </c>
      <c r="C69" s="263">
        <f t="shared" ref="C69:U69" si="55">C67-C65</f>
        <v>3659.9900000000052</v>
      </c>
      <c r="D69" s="264">
        <f t="shared" si="55"/>
        <v>3659.9900000000052</v>
      </c>
      <c r="E69" s="263">
        <f t="shared" si="55"/>
        <v>0</v>
      </c>
      <c r="F69" s="265">
        <f t="shared" si="55"/>
        <v>0</v>
      </c>
      <c r="G69" s="266">
        <f t="shared" si="55"/>
        <v>0</v>
      </c>
      <c r="H69" s="265">
        <f t="shared" si="55"/>
        <v>0</v>
      </c>
      <c r="I69" s="263">
        <f t="shared" si="55"/>
        <v>0</v>
      </c>
      <c r="J69" s="265">
        <f t="shared" si="55"/>
        <v>0</v>
      </c>
      <c r="K69" s="266">
        <f t="shared" si="55"/>
        <v>0</v>
      </c>
      <c r="L69" s="264">
        <f t="shared" si="55"/>
        <v>0</v>
      </c>
      <c r="M69" s="266">
        <f t="shared" si="55"/>
        <v>0</v>
      </c>
      <c r="N69" s="499">
        <f t="shared" si="55"/>
        <v>0</v>
      </c>
      <c r="O69" s="499">
        <f t="shared" si="55"/>
        <v>0</v>
      </c>
      <c r="P69" s="499">
        <f t="shared" si="55"/>
        <v>0</v>
      </c>
      <c r="Q69" s="499">
        <f t="shared" si="55"/>
        <v>0</v>
      </c>
      <c r="R69" s="499">
        <f t="shared" si="55"/>
        <v>0</v>
      </c>
      <c r="S69" s="499">
        <f t="shared" si="55"/>
        <v>0</v>
      </c>
      <c r="T69" s="499">
        <f t="shared" si="55"/>
        <v>0</v>
      </c>
      <c r="U69" s="266">
        <f t="shared" si="55"/>
        <v>0</v>
      </c>
    </row>
    <row r="70" spans="2:21" ht="15.75" customHeight="1" thickBot="1" x14ac:dyDescent="0.25">
      <c r="C70" s="255"/>
      <c r="D70" s="267"/>
      <c r="E70" s="255"/>
      <c r="F70" s="255"/>
      <c r="G70" s="267"/>
      <c r="H70" s="255"/>
      <c r="I70" s="255"/>
      <c r="J70" s="255"/>
      <c r="K70" s="268"/>
      <c r="L70" s="267"/>
      <c r="M70" s="268"/>
      <c r="N70" s="268"/>
      <c r="O70" s="267"/>
      <c r="P70" s="268"/>
      <c r="Q70" s="267"/>
      <c r="R70" s="268"/>
      <c r="S70" s="267"/>
      <c r="T70" s="268"/>
      <c r="U70" s="267"/>
    </row>
    <row r="71" spans="2:21" ht="15.75" customHeight="1" thickBot="1" x14ac:dyDescent="0.25">
      <c r="B71" s="256" t="s">
        <v>830</v>
      </c>
      <c r="C71" s="269">
        <f t="shared" ref="C71:U71" si="56">C69/C65</f>
        <v>5.1863248992029411E-2</v>
      </c>
      <c r="D71" s="270">
        <f t="shared" si="56"/>
        <v>5.1863248992029411E-2</v>
      </c>
      <c r="E71" s="269" t="e">
        <f t="shared" si="56"/>
        <v>#DIV/0!</v>
      </c>
      <c r="F71" s="271" t="e">
        <f t="shared" si="56"/>
        <v>#DIV/0!</v>
      </c>
      <c r="G71" s="272" t="e">
        <f t="shared" si="56"/>
        <v>#DIV/0!</v>
      </c>
      <c r="H71" s="271" t="e">
        <f t="shared" si="56"/>
        <v>#DIV/0!</v>
      </c>
      <c r="I71" s="269" t="e">
        <f t="shared" si="56"/>
        <v>#DIV/0!</v>
      </c>
      <c r="J71" s="271" t="e">
        <f t="shared" si="56"/>
        <v>#DIV/0!</v>
      </c>
      <c r="K71" s="273" t="e">
        <f t="shared" si="56"/>
        <v>#DIV/0!</v>
      </c>
      <c r="L71" s="270" t="e">
        <f t="shared" si="56"/>
        <v>#DIV/0!</v>
      </c>
      <c r="M71" s="273" t="e">
        <f t="shared" si="56"/>
        <v>#DIV/0!</v>
      </c>
      <c r="N71" s="274" t="e">
        <f t="shared" ref="N71:S71" si="57">N69/N65</f>
        <v>#DIV/0!</v>
      </c>
      <c r="O71" s="272" t="e">
        <f t="shared" si="57"/>
        <v>#DIV/0!</v>
      </c>
      <c r="P71" s="274" t="e">
        <f t="shared" si="57"/>
        <v>#DIV/0!</v>
      </c>
      <c r="Q71" s="272" t="e">
        <f t="shared" si="57"/>
        <v>#DIV/0!</v>
      </c>
      <c r="R71" s="274" t="e">
        <f t="shared" si="57"/>
        <v>#DIV/0!</v>
      </c>
      <c r="S71" s="272" t="e">
        <f t="shared" si="57"/>
        <v>#DIV/0!</v>
      </c>
      <c r="T71" s="274" t="e">
        <f t="shared" si="56"/>
        <v>#DIV/0!</v>
      </c>
      <c r="U71" s="272" t="e">
        <f t="shared" si="56"/>
        <v>#DIV/0!</v>
      </c>
    </row>
    <row r="72" spans="2:21" ht="15.75" customHeight="1" thickBot="1" x14ac:dyDescent="0.25"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</row>
    <row r="73" spans="2:21" ht="15.75" customHeight="1" thickBot="1" x14ac:dyDescent="0.25">
      <c r="B73" s="251" t="s">
        <v>831</v>
      </c>
      <c r="C73" s="275">
        <f>SUM(D73:U73)</f>
        <v>3782.8</v>
      </c>
      <c r="D73" s="276">
        <f t="shared" ref="D73:M73" si="58">(Y6+Y9+Y11+Y12+Y14+Y16)*0.07</f>
        <v>3782.8</v>
      </c>
      <c r="E73" s="275">
        <f t="shared" si="58"/>
        <v>0</v>
      </c>
      <c r="F73" s="276">
        <f t="shared" si="58"/>
        <v>0</v>
      </c>
      <c r="G73" s="275">
        <f t="shared" si="58"/>
        <v>0</v>
      </c>
      <c r="H73" s="276">
        <f t="shared" si="58"/>
        <v>0</v>
      </c>
      <c r="I73" s="275">
        <f t="shared" si="58"/>
        <v>0</v>
      </c>
      <c r="J73" s="276">
        <f t="shared" si="58"/>
        <v>0</v>
      </c>
      <c r="K73" s="275">
        <f t="shared" si="58"/>
        <v>0</v>
      </c>
      <c r="L73" s="276">
        <f t="shared" si="58"/>
        <v>0</v>
      </c>
      <c r="M73" s="275">
        <f t="shared" si="58"/>
        <v>0</v>
      </c>
      <c r="N73" s="276">
        <f t="shared" ref="N73" si="59">(AC6+AC9+AC11+AC12+AC14+AC16)*0.07</f>
        <v>0</v>
      </c>
      <c r="O73" s="275">
        <f t="shared" ref="O73" si="60">(AD6+AD9+AD11+AD12+AD14+AD16)*0.07</f>
        <v>0</v>
      </c>
      <c r="P73" s="276">
        <f t="shared" ref="P73" si="61">(AE6+AE9+AE11+AE12+AE14+AE16)*0.07</f>
        <v>0</v>
      </c>
      <c r="Q73" s="275">
        <f t="shared" ref="Q73" si="62">(AF6+AF9+AF11+AF12+AF14+AF16)*0.07</f>
        <v>0</v>
      </c>
      <c r="R73" s="276">
        <f t="shared" ref="R73" si="63">(AG6+AG9+AG11+AG12+AG14+AG16)*0.07</f>
        <v>0</v>
      </c>
      <c r="S73" s="275">
        <f t="shared" ref="S73" si="64">(AH6+AH9+AH11+AH12+AH14+AH16)*0.07</f>
        <v>0</v>
      </c>
      <c r="T73" s="276">
        <f t="shared" ref="T73:U73" si="65">(AO6+AO9+AO11+AO12+AO14+AO16)*0.07</f>
        <v>0</v>
      </c>
      <c r="U73" s="275">
        <f t="shared" si="65"/>
        <v>0</v>
      </c>
    </row>
  </sheetData>
  <sheetProtection selectLockedCells="1"/>
  <mergeCells count="39">
    <mergeCell ref="S3:S4"/>
    <mergeCell ref="AI3:AI4"/>
    <mergeCell ref="AJ3:AJ4"/>
    <mergeCell ref="AK3:AK4"/>
    <mergeCell ref="AL3:AL4"/>
    <mergeCell ref="Y3:Y4"/>
    <mergeCell ref="Z3:Z4"/>
    <mergeCell ref="AA3:AA4"/>
    <mergeCell ref="AB3:AB4"/>
    <mergeCell ref="AC3:AC4"/>
    <mergeCell ref="N3:N4"/>
    <mergeCell ref="O3:O4"/>
    <mergeCell ref="P3:P4"/>
    <mergeCell ref="Q3:Q4"/>
    <mergeCell ref="R3:R4"/>
    <mergeCell ref="A1:AP1"/>
    <mergeCell ref="B3:B4"/>
    <mergeCell ref="D3:D4"/>
    <mergeCell ref="E3:E4"/>
    <mergeCell ref="F3:F4"/>
    <mergeCell ref="G3:G4"/>
    <mergeCell ref="H3:H4"/>
    <mergeCell ref="I3:I4"/>
    <mergeCell ref="J3:J4"/>
    <mergeCell ref="K3:K4"/>
    <mergeCell ref="AE3:AE4"/>
    <mergeCell ref="L3:L4"/>
    <mergeCell ref="M3:M4"/>
    <mergeCell ref="T3:T4"/>
    <mergeCell ref="U3:U4"/>
    <mergeCell ref="W3:W4"/>
    <mergeCell ref="AP3:AP4"/>
    <mergeCell ref="AD3:AD4"/>
    <mergeCell ref="AF3:AF4"/>
    <mergeCell ref="AG3:AG4"/>
    <mergeCell ref="AH3:AH4"/>
    <mergeCell ref="AO3:AO4"/>
    <mergeCell ref="AM3:AM4"/>
    <mergeCell ref="AN3:AN4"/>
  </mergeCell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&amp;C&amp;1#&amp;"Calibri"&amp;10&amp;K000000Usage Interne / Internal Use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"/>
  <sheetViews>
    <sheetView workbookViewId="0"/>
  </sheetViews>
  <sheetFormatPr defaultColWidth="11.42578125" defaultRowHeight="12" x14ac:dyDescent="0.2"/>
  <sheetData/>
  <pageMargins left="0.7" right="0.7" top="0.75" bottom="0.75" header="0.3" footer="0.3"/>
  <pageSetup paperSize="9" orientation="portrait" r:id="rId1"/>
  <headerFooter>
    <oddFooter>&amp;C&amp;1#&amp;"Calibri"&amp;10&amp;K000000Usage Interne /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dbd40e-e80b-4e08-973d-727ddab26b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496192EB542D44ADDD63E62DF46093" ma:contentTypeVersion="17" ma:contentTypeDescription="Crée un document." ma:contentTypeScope="" ma:versionID="6a032f303a2b2bd3de04b6a4f50e355b">
  <xsd:schema xmlns:xsd="http://www.w3.org/2001/XMLSchema" xmlns:xs="http://www.w3.org/2001/XMLSchema" xmlns:p="http://schemas.microsoft.com/office/2006/metadata/properties" xmlns:ns3="d8dbd40e-e80b-4e08-973d-727ddab26bf2" xmlns:ns4="105a4252-e63e-4d22-8989-cb17d1c6de2b" targetNamespace="http://schemas.microsoft.com/office/2006/metadata/properties" ma:root="true" ma:fieldsID="5e7f67bdfc6cfa5f7a44a977895b2510" ns3:_="" ns4:_="">
    <xsd:import namespace="d8dbd40e-e80b-4e08-973d-727ddab26bf2"/>
    <xsd:import namespace="105a4252-e63e-4d22-8989-cb17d1c6de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bd40e-e80b-4e08-973d-727ddab26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a4252-e63e-4d22-8989-cb17d1c6d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4EBF1-48EC-4822-A928-7E09EEAC0288}">
  <ds:schemaRefs>
    <ds:schemaRef ds:uri="http://schemas.microsoft.com/office/2006/metadata/properties"/>
    <ds:schemaRef ds:uri="http://schemas.microsoft.com/office/infopath/2007/PartnerControls"/>
    <ds:schemaRef ds:uri="d8dbd40e-e80b-4e08-973d-727ddab26bf2"/>
  </ds:schemaRefs>
</ds:datastoreItem>
</file>

<file path=customXml/itemProps2.xml><?xml version="1.0" encoding="utf-8"?>
<ds:datastoreItem xmlns:ds="http://schemas.openxmlformats.org/officeDocument/2006/customXml" ds:itemID="{9248E2B1-EC2C-4D0D-B580-94C4C0AA2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bd40e-e80b-4e08-973d-727ddab26bf2"/>
    <ds:schemaRef ds:uri="105a4252-e63e-4d22-8989-cb17d1c6d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336AE5-244C-453E-9949-90A46A36B2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47</vt:i4>
      </vt:variant>
      <vt:variant>
        <vt:lpstr>Named Ranges</vt:lpstr>
      </vt:variant>
      <vt:variant>
        <vt:i4>2</vt:i4>
      </vt:variant>
    </vt:vector>
  </HeadingPairs>
  <TitlesOfParts>
    <vt:vector size="49" baseType="lpstr">
      <vt:lpstr>Prévisionnel</vt:lpstr>
      <vt:lpstr>Budget analytique</vt:lpstr>
      <vt:lpstr>PRODUITS</vt:lpstr>
      <vt:lpstr>synthèse</vt:lpstr>
      <vt:lpstr>Récap séjours ouverts</vt:lpstr>
      <vt:lpstr>CHARGES</vt:lpstr>
      <vt:lpstr>OLD BP Fonct</vt:lpstr>
      <vt:lpstr>BP Petit Bivouac - P2</vt:lpstr>
      <vt:lpstr>Recap Petit + Grand Bivouac</vt:lpstr>
      <vt:lpstr>Simul prix petit bivouac</vt:lpstr>
      <vt:lpstr>Compta</vt:lpstr>
      <vt:lpstr>Budget CR</vt:lpstr>
      <vt:lpstr>TCD</vt:lpstr>
      <vt:lpstr>Liste Réel</vt:lpstr>
      <vt:lpstr>Liste prévisionnel</vt:lpstr>
      <vt:lpstr>TCD récap</vt:lpstr>
      <vt:lpstr>Soldes banque</vt:lpstr>
      <vt:lpstr>AG</vt:lpstr>
      <vt:lpstr>Camion</vt:lpstr>
      <vt:lpstr>Liste Prévisionnels</vt:lpstr>
      <vt:lpstr>Liste Cpt 6 et 7</vt:lpstr>
      <vt:lpstr>Détails par projet</vt:lpstr>
      <vt:lpstr>Assurance</vt:lpstr>
      <vt:lpstr>MS AD</vt:lpstr>
      <vt:lpstr>BP ROLDIR</vt:lpstr>
      <vt:lpstr>BP Séjour ouvert 1S</vt:lpstr>
      <vt:lpstr>BP Séjour ouvert 2S</vt:lpstr>
      <vt:lpstr>OLD - BP Tremplins</vt:lpstr>
      <vt:lpstr>OLD BP Congrès</vt:lpstr>
      <vt:lpstr>Carnet de bord Sprinter</vt:lpstr>
      <vt:lpstr>Listes détails</vt:lpstr>
      <vt:lpstr>Factures</vt:lpstr>
      <vt:lpstr>BP Petit Bivouac</vt:lpstr>
      <vt:lpstr>RIR</vt:lpstr>
      <vt:lpstr>AG Part</vt:lpstr>
      <vt:lpstr>Rapport</vt:lpstr>
      <vt:lpstr>Rapport 1 indicateur</vt:lpstr>
      <vt:lpstr>Rapport 2 - Sommaire</vt:lpstr>
      <vt:lpstr>Rapport 3 - balance analytique</vt:lpstr>
      <vt:lpstr>Rapport 4 - Detail</vt:lpstr>
      <vt:lpstr>Rapport 5 - Treso</vt:lpstr>
      <vt:lpstr>Récap BAFA</vt:lpstr>
      <vt:lpstr>BP BAFA Base</vt:lpstr>
      <vt:lpstr>BP BAFA Appro</vt:lpstr>
      <vt:lpstr>SLA V1</vt:lpstr>
      <vt:lpstr>SLA V2 </vt:lpstr>
      <vt:lpstr>Feuil1</vt:lpstr>
      <vt:lpstr>'Budget analytique'!Print_Area</vt:lpstr>
      <vt:lpstr>'Budget analytique'!Print_Area_0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DAMIEN QUAEGEBEUR</dc:creator>
  <cp:keywords/>
  <dc:description/>
  <cp:lastModifiedBy>Pierre MULLER</cp:lastModifiedBy>
  <cp:revision>3</cp:revision>
  <dcterms:created xsi:type="dcterms:W3CDTF">2017-09-28T13:55:11Z</dcterms:created>
  <dcterms:modified xsi:type="dcterms:W3CDTF">2025-01-09T13:14:23Z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TC040223879991</vt:lpwstr>
  </property>
  <property fmtid="{D5CDD505-2E9C-101B-9397-08002B2CF9AE}" pid="9" name="ContentTypeId">
    <vt:lpwstr>0x010100D1496192EB542D44ADDD63E62DF46093</vt:lpwstr>
  </property>
  <property fmtid="{D5CDD505-2E9C-101B-9397-08002B2CF9AE}" pid="10" name="MSIP_Label_74959cb2-1791-4379-ac27-73c7defdb1e7_Enabled">
    <vt:lpwstr>true</vt:lpwstr>
  </property>
  <property fmtid="{D5CDD505-2E9C-101B-9397-08002B2CF9AE}" pid="11" name="MSIP_Label_74959cb2-1791-4379-ac27-73c7defdb1e7_SetDate">
    <vt:lpwstr>2024-09-16T08:43:29Z</vt:lpwstr>
  </property>
  <property fmtid="{D5CDD505-2E9C-101B-9397-08002B2CF9AE}" pid="12" name="MSIP_Label_74959cb2-1791-4379-ac27-73c7defdb1e7_Method">
    <vt:lpwstr>Privileged</vt:lpwstr>
  </property>
  <property fmtid="{D5CDD505-2E9C-101B-9397-08002B2CF9AE}" pid="13" name="MSIP_Label_74959cb2-1791-4379-ac27-73c7defdb1e7_Name">
    <vt:lpwstr>C2-Usage Interne</vt:lpwstr>
  </property>
  <property fmtid="{D5CDD505-2E9C-101B-9397-08002B2CF9AE}" pid="14" name="MSIP_Label_74959cb2-1791-4379-ac27-73c7defdb1e7_SiteId">
    <vt:lpwstr>fb3baf17-c313-474c-8d5d-577a3ec97a32</vt:lpwstr>
  </property>
  <property fmtid="{D5CDD505-2E9C-101B-9397-08002B2CF9AE}" pid="15" name="MSIP_Label_74959cb2-1791-4379-ac27-73c7defdb1e7_ActionId">
    <vt:lpwstr>2013484f-b166-467c-b9f3-0685a8c650ff</vt:lpwstr>
  </property>
  <property fmtid="{D5CDD505-2E9C-101B-9397-08002B2CF9AE}" pid="16" name="MSIP_Label_74959cb2-1791-4379-ac27-73c7defdb1e7_ContentBits">
    <vt:lpwstr>2</vt:lpwstr>
  </property>
</Properties>
</file>